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SheetTabs="0" xWindow="-30" yWindow="3360" windowWidth="15390" windowHeight="4935" tabRatio="933"/>
  </bookViews>
  <sheets>
    <sheet name="DATOS" sheetId="5" r:id="rId1"/>
  </sheets>
  <definedNames>
    <definedName name="Ahorro_máximo_anual">DATOS!$C$9</definedName>
    <definedName name="Año" workbookParameter="1">DATOS!$E$6</definedName>
    <definedName name="Años_cotizados" workbookParameter="1">DATOS!$C$12</definedName>
    <definedName name="Años_edad_jubilación" workbookParameter="1">DATOS!$C$20</definedName>
    <definedName name="Base" workbookParameter="1">DATOS!$E$14</definedName>
    <definedName name="Día" workbookParameter="1">DATOS!$C$6</definedName>
    <definedName name="Ingresos" workbookParameter="1">DATOS!$C$8</definedName>
    <definedName name="Mes" workbookParameter="1">DATOS!$D$6</definedName>
    <definedName name="Meses_cotizados" workbookParameter="1">DATOS!$D$12</definedName>
    <definedName name="Meses_edad_jubilación" workbookParameter="1">DATOS!$D$20</definedName>
    <definedName name="Sexo" workbookParameter="1">DATOS!$C$4</definedName>
  </definedNames>
  <calcPr calcId="125725"/>
  <webPublishObjects count="15">
    <webPublishObject id="21148" divId="Aplicación online para Edad y Vida_21148" destinationFile="F:\Grupo pensiones\Edad y Vida\Rentabilidad financiero fiscal\Aplicación online para Edad y Vida.htm"/>
    <webPublishObject id="28435" divId="Aplicación online para Edad y Vida_28435" destinationFile="F:\Grupo pensiones\Edad y Vida\Rentabilidad financiero fiscal\Aplicacion.htm"/>
    <webPublishObject id="18471" divId="Aplicación online para Edad y Vida_18471" destinationFile="F:\Grupo pensiones\Edad y Vida\Rentabilidad financiero fiscal\Aplicacion.htm"/>
    <webPublishObject id="23545" divId="Aplicación online para Edad y Vida_23545" destinationFile="F:\Grupo pensiones\Edad y Vida\Rentabilidad financiero fiscal\Aplicacion.htm"/>
    <webPublishObject id="19659" divId="Aplicación online para Edad y Vida_19659" destinationFile="F:\Grupo pensiones\Edad y Vida\Rentabilidad financiero fiscal\Aplicacion.htm"/>
    <webPublishObject id="2296" divId="Aplicación online para Edad y Vida_2296" destinationFile="E:\Grupo pensiones\Edad y Vida\Rentabilidad financiero fiscal\Aplicacion.htm"/>
    <webPublishObject id="14817" divId="Aplicación online para Edad y Vida_14817" destinationFile="E:\Grupo pensiones\Edad y Vida\Rentabilidad financiero fiscal\Aplicacion.htm"/>
    <webPublishObject id="19695" divId="Aplicación online para Edad y Vida_19695" destinationFile="E:\Grupo pensiones\Edad y Vida\Rentabilidad financiero fiscal\Aplicacion.htm"/>
    <webPublishObject id="23625" divId="Aplicación online para Edad y Vida_23625" destinationFile="E:\Grupo pensiones\Edad y Vida\Rentabilidad financiero fiscal\Aplicacion.htm"/>
    <webPublishObject id="27386" divId="Copia de Aplicaci%F3n online para Edad y Vida2-1+A+B_27386" destinationFile="F:\Grupo pensiones\Edad y Vida\Rentabilidad financiero fiscal\Aplicacion.htm"/>
    <webPublishObject id="11691" divId="Copia de Aplicaci%F3n online para Edad y Vida2-1+A+B_11691" destinationFile="Y:\web\investigacion\Aplicacion.htm"/>
    <webPublishObject id="5711" divId="Copia de Aplicaci%F3n online para Edad y Vida2-1+A+B_5711" destinationFile="Y:\web\investigacion\Aplicacion.htm"/>
    <webPublishObject id="16568" divId="Copia de Aplicaci%F3n online para Edad y Vida2-1+A+B_16568" destinationFile="Y:\web\investigacion\Aplicacion.htm"/>
    <webPublishObject id="6366" divId="Copia de Aplicaci%F3n online para Edad y Vida2-1+A+B_6366" destinationFile="Y:\web\investigacion\Aplicacion.htm"/>
    <webPublishObject id="13335" divId="Copia de Aplicaci%F3n online para Edad y Vida2-1+A+B_13335" destinationFile="F:\Grupo pensiones\Edad y Vida\Rentabilidad financiero fiscal\Aplicacion.htm"/>
  </webPublishObjects>
</workbook>
</file>

<file path=xl/calcChain.xml><?xml version="1.0" encoding="utf-8"?>
<calcChain xmlns="http://schemas.openxmlformats.org/spreadsheetml/2006/main">
  <c r="D9" i="5"/>
  <c r="S86" l="1"/>
  <c r="S98"/>
  <c r="S96"/>
  <c r="S102"/>
  <c r="Y92" l="1"/>
  <c r="AB101" s="1"/>
  <c r="Y90"/>
  <c r="S97"/>
  <c r="AA51" l="1"/>
  <c r="AA52" s="1"/>
  <c r="AA53" s="1"/>
  <c r="AA54" s="1"/>
  <c r="AA55" s="1"/>
  <c r="AA46"/>
  <c r="AA47" s="1"/>
  <c r="AA48" s="1"/>
  <c r="AA49" s="1"/>
  <c r="AA50" s="1"/>
  <c r="AA41"/>
  <c r="AA42" s="1"/>
  <c r="AA43" s="1"/>
  <c r="AA44" s="1"/>
  <c r="AA45" s="1"/>
  <c r="AA36"/>
  <c r="AA37" s="1"/>
  <c r="AA38" s="1"/>
  <c r="AA39" s="1"/>
  <c r="AA40" s="1"/>
  <c r="AA31"/>
  <c r="AA32" s="1"/>
  <c r="AA33" s="1"/>
  <c r="AA34" s="1"/>
  <c r="AA35" s="1"/>
  <c r="X19" l="1"/>
  <c r="X18"/>
  <c r="U32" l="1"/>
  <c r="T53" s="1"/>
  <c r="S87"/>
  <c r="W18"/>
  <c r="X17"/>
  <c r="W17"/>
  <c r="X16"/>
  <c r="W16"/>
  <c r="X15"/>
  <c r="W15"/>
  <c r="X14"/>
  <c r="W14"/>
  <c r="X13"/>
  <c r="W13"/>
  <c r="X12"/>
  <c r="W12"/>
  <c r="X11"/>
  <c r="W11"/>
  <c r="X10"/>
  <c r="W10"/>
  <c r="X9"/>
  <c r="W9"/>
  <c r="X8"/>
  <c r="W8"/>
  <c r="X7"/>
  <c r="W7"/>
  <c r="X6"/>
  <c r="W6"/>
  <c r="X5"/>
  <c r="W5"/>
  <c r="R7" l="1"/>
  <c r="R9"/>
  <c r="R11"/>
  <c r="R13"/>
  <c r="R15"/>
  <c r="R17"/>
  <c r="R19"/>
  <c r="R21"/>
  <c r="R23"/>
  <c r="Q5"/>
  <c r="Q6"/>
  <c r="Q8"/>
  <c r="Q10"/>
  <c r="Q12"/>
  <c r="Q14"/>
  <c r="Q16"/>
  <c r="Q18"/>
  <c r="Q20"/>
  <c r="Q22"/>
  <c r="Q24"/>
  <c r="R6"/>
  <c r="R8"/>
  <c r="R10"/>
  <c r="R12"/>
  <c r="R14"/>
  <c r="R16"/>
  <c r="R18"/>
  <c r="R20"/>
  <c r="R22"/>
  <c r="R24"/>
  <c r="Q7"/>
  <c r="Q9"/>
  <c r="Q11"/>
  <c r="Q13"/>
  <c r="Q15"/>
  <c r="Q17"/>
  <c r="Q19"/>
  <c r="Q21"/>
  <c r="Q23"/>
  <c r="R5"/>
  <c r="T65"/>
  <c r="T67" s="1"/>
  <c r="T69" s="1"/>
  <c r="L44"/>
  <c r="L43" s="1"/>
  <c r="L42" s="1"/>
  <c r="L41" s="1"/>
  <c r="L40" s="1"/>
  <c r="L39" s="1"/>
  <c r="L38" s="1"/>
  <c r="L37" s="1"/>
  <c r="L36" s="1"/>
  <c r="L35" s="1"/>
  <c r="L34" s="1"/>
  <c r="L33" s="1"/>
  <c r="L32" s="1"/>
  <c r="L31" s="1"/>
  <c r="L30" s="1"/>
  <c r="L29" s="1"/>
  <c r="L28" s="1"/>
  <c r="L27" s="1"/>
  <c r="L26" s="1"/>
  <c r="L25" s="1"/>
  <c r="L24" s="1"/>
  <c r="L23" s="1"/>
  <c r="L22" s="1"/>
  <c r="L21" s="1"/>
  <c r="L20" s="1"/>
  <c r="L19" s="1"/>
  <c r="L18" s="1"/>
  <c r="L17" s="1"/>
  <c r="L16" s="1"/>
  <c r="L15" s="1"/>
  <c r="L14" s="1"/>
  <c r="L13" s="1"/>
  <c r="L12" s="1"/>
  <c r="L11" s="1"/>
  <c r="L10" s="1"/>
  <c r="L9" s="1"/>
  <c r="L8" s="1"/>
  <c r="L7" s="1"/>
  <c r="S100"/>
  <c r="S91"/>
  <c r="T93"/>
  <c r="T94"/>
  <c r="U30"/>
  <c r="S41" s="1"/>
  <c r="S90"/>
  <c r="S89"/>
  <c r="T89"/>
  <c r="V47" l="1"/>
  <c r="T66"/>
  <c r="T68" s="1"/>
  <c r="T70" s="1"/>
  <c r="T72" s="1"/>
  <c r="Y91"/>
  <c r="Y93" s="1"/>
  <c r="AB93" s="1"/>
  <c r="P41"/>
  <c r="T41"/>
  <c r="Q41"/>
  <c r="M4" s="1"/>
  <c r="V41"/>
  <c r="U41"/>
  <c r="W41"/>
  <c r="R41"/>
  <c r="T58"/>
  <c r="U36"/>
  <c r="AA93" l="1"/>
  <c r="S101"/>
  <c r="S103" s="1"/>
  <c r="M41"/>
  <c r="M43"/>
  <c r="M42"/>
  <c r="M27"/>
  <c r="M18"/>
  <c r="M17"/>
  <c r="M16"/>
  <c r="M15"/>
  <c r="M14"/>
  <c r="M13"/>
  <c r="M12"/>
  <c r="M28"/>
  <c r="M11"/>
  <c r="M10"/>
  <c r="M26"/>
  <c r="M9"/>
  <c r="M25"/>
  <c r="M8"/>
  <c r="M24"/>
  <c r="M19"/>
  <c r="M22"/>
  <c r="M21"/>
  <c r="M23"/>
  <c r="M20"/>
  <c r="M7"/>
  <c r="U33"/>
  <c r="Q44"/>
  <c r="U34" s="1"/>
  <c r="S92" s="1"/>
  <c r="T54"/>
  <c r="U37"/>
  <c r="T55" s="1"/>
  <c r="M40"/>
  <c r="S99" l="1"/>
  <c r="L45" s="1"/>
  <c r="T73"/>
  <c r="T74" s="1"/>
  <c r="T56"/>
  <c r="T57"/>
  <c r="M39"/>
  <c r="G14" l="1"/>
  <c r="G13"/>
  <c r="L46"/>
  <c r="L47" s="1"/>
  <c r="L48" s="1"/>
  <c r="L49" s="1"/>
  <c r="L50" s="1"/>
  <c r="L51" s="1"/>
  <c r="L52" s="1"/>
  <c r="L53" s="1"/>
  <c r="L54" s="1"/>
  <c r="M44"/>
  <c r="C21"/>
  <c r="D21"/>
  <c r="T59"/>
  <c r="M38"/>
  <c r="A23" l="1"/>
  <c r="L55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M37"/>
  <c r="M79" l="1"/>
  <c r="M80"/>
  <c r="M36"/>
  <c r="M73" l="1"/>
  <c r="M45"/>
  <c r="M46"/>
  <c r="M81"/>
  <c r="M47"/>
  <c r="M35"/>
  <c r="M74" l="1"/>
  <c r="M75"/>
  <c r="M82"/>
  <c r="M48"/>
  <c r="M34"/>
  <c r="M76" l="1"/>
  <c r="M83"/>
  <c r="M49"/>
  <c r="M33"/>
  <c r="M77" l="1"/>
  <c r="M84"/>
  <c r="M50"/>
  <c r="M32"/>
  <c r="M78" l="1"/>
  <c r="M85"/>
  <c r="M51"/>
  <c r="M68"/>
  <c r="M31"/>
  <c r="M86" l="1"/>
  <c r="M69"/>
  <c r="M30"/>
  <c r="M87" l="1"/>
  <c r="M70"/>
  <c r="M29"/>
  <c r="M88" l="1"/>
  <c r="M71"/>
  <c r="M89" l="1"/>
  <c r="M55"/>
  <c r="M72"/>
  <c r="M90" l="1"/>
  <c r="M56"/>
  <c r="M92" l="1"/>
  <c r="M91"/>
  <c r="M57"/>
  <c r="M58" l="1"/>
  <c r="M59" l="1"/>
  <c r="M60" l="1"/>
  <c r="M61" l="1"/>
  <c r="M62" l="1"/>
  <c r="M63" l="1"/>
  <c r="M64" l="1"/>
  <c r="M65" l="1"/>
  <c r="M66" l="1"/>
  <c r="M67" l="1"/>
  <c r="M52"/>
  <c r="M53"/>
  <c r="M54"/>
  <c r="H5" l="1"/>
  <c r="I5" s="1"/>
  <c r="S93" l="1"/>
  <c r="S94" s="1"/>
  <c r="S95" l="1"/>
  <c r="T95"/>
  <c r="H7" s="1"/>
  <c r="I7" s="1"/>
  <c r="H9" l="1"/>
  <c r="I9" s="1"/>
</calcChain>
</file>

<file path=xl/sharedStrings.xml><?xml version="1.0" encoding="utf-8"?>
<sst xmlns="http://schemas.openxmlformats.org/spreadsheetml/2006/main" count="156" uniqueCount="131">
  <si>
    <t>IPC</t>
  </si>
  <si>
    <t>Años cotizados a la jubilación</t>
  </si>
  <si>
    <t>Ingresos anuales previos a la jubilación</t>
  </si>
  <si>
    <t>Años base reguladora</t>
  </si>
  <si>
    <t>TASA DE SUSTITUCIÓN ETAPA TRANSICIÓN Y FINAL</t>
  </si>
  <si>
    <t xml:space="preserve">Años mínimos </t>
  </si>
  <si>
    <t>Año</t>
  </si>
  <si>
    <t>Años cotizados</t>
  </si>
  <si>
    <t>Años BR</t>
  </si>
  <si>
    <t>Meses</t>
  </si>
  <si>
    <t>Incentivo</t>
  </si>
  <si>
    <t>Reductor</t>
  </si>
  <si>
    <t>Edad jubilación</t>
  </si>
  <si>
    <t>Año de jubilación según datos introducidos por el usuario</t>
  </si>
  <si>
    <t>Años enteros de prolongación de la vida laboral para el cálculo de los incentivos</t>
  </si>
  <si>
    <t>Trimestres enteros de anticipación para el cálculo del coeficiente reductor</t>
  </si>
  <si>
    <t>Edad jubilación según datos introducidos por el usuario</t>
  </si>
  <si>
    <t>Años cotizados según datos introducidos por el usuario</t>
  </si>
  <si>
    <t>Meses cotizados por encima 15 años para el cálculo de la tasa de sustitución base</t>
  </si>
  <si>
    <t>RESUMEN DE DATOS PARA EL PERIODO TRANSITORIO</t>
  </si>
  <si>
    <t>Años B.Reg.</t>
  </si>
  <si>
    <t>%</t>
  </si>
  <si>
    <t>Edad normal</t>
  </si>
  <si>
    <t>Años jub. 65</t>
  </si>
  <si>
    <t>Límite 1</t>
  </si>
  <si>
    <t>Límite 2</t>
  </si>
  <si>
    <t>Edad especial</t>
  </si>
  <si>
    <t>Coef. Reductor</t>
  </si>
  <si>
    <t>DATOS DEL INDIVIDUO Y TASA DE SUSTITUCIÓN CORRESPONDIENTE</t>
  </si>
  <si>
    <t>TS Base</t>
  </si>
  <si>
    <t>FACTOR DE SOSTENIBILIDAD</t>
  </si>
  <si>
    <t>Factor</t>
  </si>
  <si>
    <t>Sostenibilidad</t>
  </si>
  <si>
    <t>Por trimestre &lt; 38,5</t>
  </si>
  <si>
    <t>Por trimestre &gt;= 38,5</t>
  </si>
  <si>
    <t>Día</t>
  </si>
  <si>
    <t>Mes</t>
  </si>
  <si>
    <t>Fecha de nacimiento</t>
  </si>
  <si>
    <t>Años</t>
  </si>
  <si>
    <t>DATOS SUPUESTOS E HIPÓTESIS</t>
  </si>
  <si>
    <t>Fecha actual</t>
  </si>
  <si>
    <t>Edad mínima de jubilación</t>
  </si>
  <si>
    <t>Fecha de jubilación</t>
  </si>
  <si>
    <t>RESULTADOS INTERMEDIOS</t>
  </si>
  <si>
    <t>Pensión anual adicional necesaria</t>
  </si>
  <si>
    <t>Fondo privado que es necesario constituir</t>
  </si>
  <si>
    <t>Pensión mínima anual en la jubilación</t>
  </si>
  <si>
    <t>Pensión máxima anual en la jubilación</t>
  </si>
  <si>
    <t>Aportación anual necesaria constante para constituirlo</t>
  </si>
  <si>
    <t>H</t>
  </si>
  <si>
    <t>M</t>
  </si>
  <si>
    <t>BASE REGULADORA</t>
  </si>
  <si>
    <t>Edad</t>
  </si>
  <si>
    <t>Base cot.</t>
  </si>
  <si>
    <t>Base consid.</t>
  </si>
  <si>
    <t>Edad Jub. normal</t>
  </si>
  <si>
    <t>Años cot. Jub. 65</t>
  </si>
  <si>
    <t>Límite 1 meses cot.</t>
  </si>
  <si>
    <t>Límite 2 meses cot.</t>
  </si>
  <si>
    <t>Tasa de sustitución Aplicable</t>
  </si>
  <si>
    <t>años</t>
  </si>
  <si>
    <t>meses</t>
  </si>
  <si>
    <t>EDAD MÍNIMA DE JUBILACIÓN</t>
  </si>
  <si>
    <t>Fecha 15 cotizados</t>
  </si>
  <si>
    <t>Edad 15 cotizados</t>
  </si>
  <si>
    <t>Edad mínima</t>
  </si>
  <si>
    <t>Rentabilidad del producto de ahorro</t>
  </si>
  <si>
    <t>Tiempo cotizado hasta hoy</t>
  </si>
  <si>
    <t>DATOS PERSONALES Y LABORALES</t>
  </si>
  <si>
    <t>Edad de Jubilación prevista</t>
  </si>
  <si>
    <t>% de ingresos</t>
  </si>
  <si>
    <t>€ actuales</t>
  </si>
  <si>
    <t>Pensión pública probable</t>
  </si>
  <si>
    <t xml:space="preserve">Ahorro anual necesario </t>
  </si>
  <si>
    <t>Pensión pública y privada</t>
  </si>
  <si>
    <t>RESULTADOS COMPLEMENTO JUBILACIÓN</t>
  </si>
  <si>
    <t>Sexo</t>
  </si>
  <si>
    <t>Ingresos anuales brutos (€)</t>
  </si>
  <si>
    <t>Esp vida media 67</t>
  </si>
  <si>
    <t>nº de aportaciones</t>
  </si>
  <si>
    <t>Días irregulares</t>
  </si>
  <si>
    <t>VALOR ACTUAL ACTUARIAL AL 2,5%</t>
  </si>
  <si>
    <t>Actualizar anualmente</t>
  </si>
  <si>
    <t>Actualizar cada tres años con las nuevas proyecciones de población a largo plazo desde la hoja "Tablas y cálculo VAA"</t>
  </si>
  <si>
    <t>Fecha edad especial</t>
  </si>
  <si>
    <t>Edad a la edad especial</t>
  </si>
  <si>
    <t>Cotizar como ahora aumentando el IPC</t>
  </si>
  <si>
    <t>Estrategia de cotización futura:</t>
  </si>
  <si>
    <t>No ha cotizado previamente a otros regímenes.</t>
  </si>
  <si>
    <t>Base de cotización máxima óptima</t>
  </si>
  <si>
    <t>Disp. Adic. 33: 2,2*Base mínima</t>
  </si>
  <si>
    <t>Base mínima autónomos</t>
  </si>
  <si>
    <t>Año inicio periodo de cálculo</t>
  </si>
  <si>
    <t>RESULTADOS ESTRATEGIA FUTURA DE COTIZACIÓN</t>
  </si>
  <si>
    <t>si es creciente</t>
  </si>
  <si>
    <t>Tiene en cuenta la ley de reforma de las pensiones de 2011 y el R.D. Ley 20/2011.</t>
  </si>
  <si>
    <t>Edad a 1-1 año actual</t>
  </si>
  <si>
    <t>Año máximo edad salto</t>
  </si>
  <si>
    <t>Situación</t>
  </si>
  <si>
    <t>Para elegir la fórmula que calcula la base de cotización</t>
  </si>
  <si>
    <t>Ahorro máximo anual para complementar la jubilación (€)</t>
  </si>
  <si>
    <t>Estategias posibles</t>
  </si>
  <si>
    <t>% máximo deseado pensión pública y privada sobre ingresos anuales</t>
  </si>
  <si>
    <t>Valores actuales actuariales al 2,5% según edad, sexo y año de la jubilación</t>
  </si>
  <si>
    <t>Óptima relación cotización-pensión</t>
  </si>
  <si>
    <t>Óptima relación cotización-pensión: cotizar el máximo óptimo durante el periodo</t>
  </si>
  <si>
    <t xml:space="preserve">      de cálculo de la pensión para maximizar la pensión.</t>
  </si>
  <si>
    <t>Supuesto del 2% para el IPC, el crecimiento interanual de ingresos, el del ahorro necesario,</t>
  </si>
  <si>
    <t xml:space="preserve">     las bases de cotización y la revalorización de la pensión pública y privada.</t>
  </si>
  <si>
    <t>Supuesto del 2,5% para la rentabilidad del ahorro y la valoración de la renta vitalicia.</t>
  </si>
  <si>
    <t>Tablas de mortalidad aplicadas: INE (proyección de la población a largo plazo 2012-2052).</t>
  </si>
  <si>
    <t>Base de cotización mensual previa (XII-2012) (€)</t>
  </si>
  <si>
    <t>Base de cotización mensual 2013 (€)</t>
  </si>
  <si>
    <t>Situación para bases máximas y mínimas</t>
  </si>
  <si>
    <t>Año simulador</t>
  </si>
  <si>
    <t>Edad crítica</t>
  </si>
  <si>
    <t>Edad 1 de enero</t>
  </si>
  <si>
    <t>Años cot. antes 50</t>
  </si>
  <si>
    <t>Base anterior</t>
  </si>
  <si>
    <t>Base mínima</t>
  </si>
  <si>
    <t>Base máxima</t>
  </si>
  <si>
    <t>Descripción</t>
  </si>
  <si>
    <t>Edad &lt; crítica</t>
  </si>
  <si>
    <t>Edad=crítica y base &gt;=crítica</t>
  </si>
  <si>
    <t>Nueva alta</t>
  </si>
  <si>
    <t>Edad=crítica y base&lt;crítica</t>
  </si>
  <si>
    <t>Edad &gt;crítica y años cot.&lt;5</t>
  </si>
  <si>
    <t>Edad&gt;crítica, años cot.&gt;=5 y base&lt;=crítica</t>
  </si>
  <si>
    <t>Edad&gt;crítica, años cot.&gt;=5 y base&gt;crítica</t>
  </si>
  <si>
    <t>Situación resultante</t>
  </si>
  <si>
    <t>Base crítica año anterior</t>
  </si>
</sst>
</file>

<file path=xl/styles.xml><?xml version="1.0" encoding="utf-8"?>
<styleSheet xmlns="http://schemas.openxmlformats.org/spreadsheetml/2006/main">
  <numFmts count="7">
    <numFmt numFmtId="8" formatCode="#,##0.00\ &quot;€&quot;;[Red]\-#,##0.00\ &quot;€&quot;"/>
    <numFmt numFmtId="164" formatCode="0.000"/>
    <numFmt numFmtId="165" formatCode="0.000%"/>
    <numFmt numFmtId="166" formatCode="[$-C0A]d\-mmm\-yy;@"/>
    <numFmt numFmtId="167" formatCode="0.0%"/>
    <numFmt numFmtId="168" formatCode="0.0000"/>
    <numFmt numFmtId="169" formatCode="0.0"/>
  </numFmts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b/>
      <sz val="12"/>
      <color indexed="51"/>
      <name val="Calibri"/>
      <family val="2"/>
    </font>
    <font>
      <b/>
      <sz val="12"/>
      <color indexed="19"/>
      <name val="Calibri"/>
      <family val="2"/>
    </font>
    <font>
      <b/>
      <sz val="12"/>
      <color rgb="FFFF0000"/>
      <name val="Calibri"/>
      <family val="2"/>
    </font>
    <font>
      <b/>
      <sz val="12"/>
      <color theme="4" tint="-0.249977111117893"/>
      <name val="Calibri"/>
      <family val="2"/>
    </font>
    <font>
      <b/>
      <sz val="12"/>
      <color theme="7" tint="-0.249977111117893"/>
      <name val="Calibri"/>
      <family val="2"/>
    </font>
    <font>
      <b/>
      <sz val="16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theme="7" tint="0.79998168889431442"/>
      <name val="Calibri"/>
      <family val="2"/>
    </font>
    <font>
      <sz val="11"/>
      <color theme="4" tint="-0.249977111117893"/>
      <name val="Calibri"/>
      <family val="2"/>
    </font>
    <font>
      <b/>
      <u val="double"/>
      <sz val="12"/>
      <color theme="7" tint="-0.499984740745262"/>
      <name val="Calibri"/>
      <family val="2"/>
    </font>
    <font>
      <sz val="9"/>
      <name val="Calibri"/>
      <family val="2"/>
    </font>
    <font>
      <b/>
      <sz val="14"/>
      <color rgb="FF0070C0"/>
      <name val="Calibri"/>
      <family val="2"/>
    </font>
    <font>
      <sz val="14"/>
      <color rgb="FF0070C0"/>
      <name val="Calibri"/>
      <family val="2"/>
      <scheme val="minor"/>
    </font>
    <font>
      <b/>
      <u/>
      <sz val="14"/>
      <color rgb="FF0070C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theme="7" tint="-0.499984740745262"/>
      </left>
      <right/>
      <top/>
      <bottom/>
      <diagonal/>
    </border>
    <border>
      <left/>
      <right style="medium">
        <color theme="7" tint="-0.499984740745262"/>
      </right>
      <top/>
      <bottom/>
      <diagonal/>
    </border>
    <border>
      <left style="medium">
        <color theme="7" tint="-0.499984740745262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theme="7" tint="-0.499984740745262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theme="7" tint="-0.499984740745262"/>
      </right>
      <top/>
      <bottom style="medium">
        <color theme="7" tint="-0.49998474074526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theme="7" tint="-0.499984740745262"/>
      </right>
      <top style="medium">
        <color indexed="9"/>
      </top>
      <bottom/>
      <diagonal/>
    </border>
    <border>
      <left style="medium">
        <color theme="7" tint="-0.499984740745262"/>
      </left>
      <right/>
      <top style="medium">
        <color indexed="9"/>
      </top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 style="medium">
        <color theme="7" tint="-0.499984740745262"/>
      </left>
      <right/>
      <top/>
      <bottom style="medium">
        <color theme="7" tint="-0.49998474074526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theme="7" tint="-0.499984740745262"/>
      </right>
      <top style="medium">
        <color indexed="9"/>
      </top>
      <bottom style="medium">
        <color indexed="9"/>
      </bottom>
      <diagonal/>
    </border>
    <border>
      <left style="medium">
        <color theme="7" tint="-0.499984740745262"/>
      </left>
      <right style="medium">
        <color indexed="9"/>
      </right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 style="medium">
        <color theme="7" tint="-0.499984740745262"/>
      </left>
      <right/>
      <top style="medium">
        <color theme="0"/>
      </top>
      <bottom/>
      <diagonal/>
    </border>
    <border>
      <left style="medium">
        <color theme="7" tint="-0.499984740745262"/>
      </left>
      <right/>
      <top/>
      <bottom style="medium">
        <color theme="0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theme="0"/>
      </bottom>
      <diagonal/>
    </border>
    <border>
      <left style="medium">
        <color indexed="9"/>
      </left>
      <right style="medium">
        <color theme="7" tint="-0.499984740745262"/>
      </right>
      <top style="medium">
        <color indexed="9"/>
      </top>
      <bottom style="medium">
        <color indexed="9"/>
      </bottom>
      <diagonal/>
    </border>
    <border>
      <left style="medium">
        <color theme="0"/>
      </left>
      <right/>
      <top style="medium">
        <color theme="0"/>
      </top>
      <bottom style="medium">
        <color theme="7" tint="-0.499984740745262"/>
      </bottom>
      <diagonal/>
    </border>
    <border>
      <left style="medium">
        <color theme="0"/>
      </left>
      <right/>
      <top style="medium">
        <color indexed="9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indexed="9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7" tint="-0.499984740745262"/>
      </bottom>
      <diagonal/>
    </border>
    <border>
      <left style="medium">
        <color theme="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0" fontId="7" fillId="2" borderId="1" xfId="1" applyNumberFormat="1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3" fontId="7" fillId="2" borderId="0" xfId="0" applyNumberFormat="1" applyFont="1" applyFill="1"/>
    <xf numFmtId="0" fontId="3" fillId="2" borderId="0" xfId="0" applyFont="1" applyFill="1" applyAlignment="1">
      <alignment horizontal="center"/>
    </xf>
    <xf numFmtId="0" fontId="3" fillId="2" borderId="3" xfId="0" applyFont="1" applyFill="1" applyBorder="1"/>
    <xf numFmtId="165" fontId="7" fillId="2" borderId="1" xfId="1" applyNumberFormat="1" applyFont="1" applyFill="1" applyBorder="1" applyAlignment="1">
      <alignment horizontal="center"/>
    </xf>
    <xf numFmtId="2" fontId="3" fillId="2" borderId="3" xfId="0" applyNumberFormat="1" applyFont="1" applyFill="1" applyBorder="1"/>
    <xf numFmtId="2" fontId="7" fillId="2" borderId="0" xfId="0" applyNumberFormat="1" applyFont="1" applyFill="1"/>
    <xf numFmtId="8" fontId="7" fillId="2" borderId="0" xfId="0" applyNumberFormat="1" applyFont="1" applyFill="1"/>
    <xf numFmtId="0" fontId="3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165" fontId="5" fillId="2" borderId="1" xfId="1" applyNumberFormat="1" applyFont="1" applyFill="1" applyBorder="1"/>
    <xf numFmtId="0" fontId="5" fillId="2" borderId="1" xfId="0" applyFont="1" applyFill="1" applyBorder="1"/>
    <xf numFmtId="10" fontId="5" fillId="2" borderId="1" xfId="1" applyNumberFormat="1" applyFont="1" applyFill="1" applyBorder="1"/>
    <xf numFmtId="0" fontId="7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/>
    <xf numFmtId="165" fontId="2" fillId="2" borderId="1" xfId="1" applyNumberFormat="1" applyFont="1" applyFill="1" applyBorder="1"/>
    <xf numFmtId="0" fontId="3" fillId="2" borderId="4" xfId="0" applyFont="1" applyFill="1" applyBorder="1" applyAlignment="1">
      <alignment horizontal="right" vertical="center"/>
    </xf>
    <xf numFmtId="14" fontId="7" fillId="2" borderId="0" xfId="0" applyNumberFormat="1" applyFont="1" applyFill="1"/>
    <xf numFmtId="0" fontId="7" fillId="2" borderId="0" xfId="0" applyNumberFormat="1" applyFont="1" applyFill="1" applyAlignment="1">
      <alignment horizontal="center"/>
    </xf>
    <xf numFmtId="10" fontId="7" fillId="2" borderId="0" xfId="1" applyNumberFormat="1" applyFont="1" applyFill="1" applyAlignment="1" applyProtection="1">
      <alignment horizontal="center"/>
    </xf>
    <xf numFmtId="0" fontId="7" fillId="2" borderId="0" xfId="0" applyFont="1" applyFill="1" applyBorder="1" applyAlignment="1">
      <alignment horizontal="right"/>
    </xf>
    <xf numFmtId="166" fontId="7" fillId="2" borderId="0" xfId="0" applyNumberFormat="1" applyFont="1" applyFill="1" applyAlignment="1" applyProtection="1">
      <alignment horizontal="center"/>
    </xf>
    <xf numFmtId="0" fontId="7" fillId="2" borderId="0" xfId="0" applyFont="1" applyFill="1" applyAlignment="1">
      <alignment horizontal="center"/>
    </xf>
    <xf numFmtId="1" fontId="5" fillId="2" borderId="0" xfId="0" applyNumberFormat="1" applyFont="1" applyFill="1" applyAlignment="1" applyProtection="1">
      <alignment horizontal="center"/>
    </xf>
    <xf numFmtId="4" fontId="5" fillId="2" borderId="0" xfId="0" applyNumberFormat="1" applyFont="1" applyFill="1" applyAlignment="1" applyProtection="1">
      <alignment horizontal="center"/>
    </xf>
    <xf numFmtId="3" fontId="7" fillId="2" borderId="0" xfId="0" applyNumberFormat="1" applyFont="1" applyFill="1" applyAlignment="1">
      <alignment horizontal="center"/>
    </xf>
    <xf numFmtId="0" fontId="10" fillId="2" borderId="0" xfId="0" applyFont="1" applyFill="1" applyBorder="1"/>
    <xf numFmtId="0" fontId="11" fillId="2" borderId="0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Border="1"/>
    <xf numFmtId="1" fontId="7" fillId="2" borderId="0" xfId="0" applyNumberFormat="1" applyFont="1" applyFill="1"/>
    <xf numFmtId="2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8" fontId="7" fillId="2" borderId="0" xfId="0" applyNumberFormat="1" applyFont="1" applyFill="1"/>
    <xf numFmtId="0" fontId="12" fillId="2" borderId="0" xfId="0" applyFont="1" applyFill="1"/>
    <xf numFmtId="166" fontId="7" fillId="2" borderId="0" xfId="0" applyNumberFormat="1" applyFont="1" applyFill="1"/>
    <xf numFmtId="0" fontId="2" fillId="2" borderId="0" xfId="0" applyFont="1" applyFill="1"/>
    <xf numFmtId="4" fontId="7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0" xfId="0" applyFont="1" applyFill="1"/>
    <xf numFmtId="0" fontId="2" fillId="2" borderId="0" xfId="0" applyFont="1" applyFill="1" applyAlignment="1">
      <alignment horizontal="right"/>
    </xf>
    <xf numFmtId="0" fontId="3" fillId="2" borderId="8" xfId="0" applyFont="1" applyFill="1" applyBorder="1" applyAlignment="1">
      <alignment horizontal="center"/>
    </xf>
    <xf numFmtId="2" fontId="14" fillId="2" borderId="0" xfId="0" applyNumberFormat="1" applyFont="1" applyFill="1"/>
    <xf numFmtId="0" fontId="14" fillId="2" borderId="0" xfId="0" applyFont="1" applyFill="1"/>
    <xf numFmtId="0" fontId="8" fillId="4" borderId="5" xfId="0" applyFont="1" applyFill="1" applyBorder="1" applyAlignment="1">
      <alignment horizontal="center" vertical="center"/>
    </xf>
    <xf numFmtId="0" fontId="8" fillId="5" borderId="0" xfId="0" applyFont="1" applyFill="1" applyBorder="1"/>
    <xf numFmtId="0" fontId="8" fillId="5" borderId="0" xfId="0" applyFont="1" applyFill="1" applyBorder="1" applyAlignment="1">
      <alignment horizontal="center"/>
    </xf>
    <xf numFmtId="0" fontId="5" fillId="5" borderId="0" xfId="0" applyFont="1" applyFill="1" applyBorder="1" applyAlignment="1"/>
    <xf numFmtId="0" fontId="8" fillId="5" borderId="11" xfId="0" applyFont="1" applyFill="1" applyBorder="1"/>
    <xf numFmtId="0" fontId="8" fillId="5" borderId="12" xfId="0" applyFont="1" applyFill="1" applyBorder="1" applyProtection="1"/>
    <xf numFmtId="0" fontId="5" fillId="4" borderId="13" xfId="0" applyFont="1" applyFill="1" applyBorder="1" applyAlignment="1">
      <alignment horizontal="center" vertical="center"/>
    </xf>
    <xf numFmtId="0" fontId="8" fillId="5" borderId="12" xfId="0" applyFont="1" applyFill="1" applyBorder="1"/>
    <xf numFmtId="0" fontId="8" fillId="5" borderId="11" xfId="0" applyFont="1" applyFill="1" applyBorder="1" applyAlignment="1">
      <alignment horizontal="right"/>
    </xf>
    <xf numFmtId="0" fontId="8" fillId="4" borderId="13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/>
    </xf>
    <xf numFmtId="0" fontId="5" fillId="5" borderId="11" xfId="0" applyFont="1" applyFill="1" applyBorder="1"/>
    <xf numFmtId="2" fontId="8" fillId="5" borderId="12" xfId="0" applyNumberFormat="1" applyFont="1" applyFill="1" applyBorder="1" applyProtection="1"/>
    <xf numFmtId="0" fontId="8" fillId="5" borderId="15" xfId="0" applyFont="1" applyFill="1" applyBorder="1"/>
    <xf numFmtId="0" fontId="8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/>
    <xf numFmtId="0" fontId="5" fillId="5" borderId="11" xfId="0" applyFont="1" applyFill="1" applyBorder="1" applyAlignment="1">
      <alignment horizontal="right" vertical="center"/>
    </xf>
    <xf numFmtId="0" fontId="8" fillId="5" borderId="11" xfId="0" applyFont="1" applyFill="1" applyBorder="1" applyAlignment="1">
      <alignment vertical="center"/>
    </xf>
    <xf numFmtId="0" fontId="5" fillId="5" borderId="11" xfId="0" applyFont="1" applyFill="1" applyBorder="1" applyAlignment="1"/>
    <xf numFmtId="0" fontId="5" fillId="5" borderId="12" xfId="0" applyFont="1" applyFill="1" applyBorder="1" applyAlignment="1"/>
    <xf numFmtId="0" fontId="5" fillId="5" borderId="15" xfId="0" applyFont="1" applyFill="1" applyBorder="1" applyAlignment="1"/>
    <xf numFmtId="0" fontId="8" fillId="5" borderId="23" xfId="0" applyFont="1" applyFill="1" applyBorder="1"/>
    <xf numFmtId="0" fontId="8" fillId="5" borderId="22" xfId="0" applyFont="1" applyFill="1" applyBorder="1"/>
    <xf numFmtId="0" fontId="8" fillId="4" borderId="14" xfId="0" applyFont="1" applyFill="1" applyBorder="1" applyAlignment="1">
      <alignment horizontal="right" vertical="center"/>
    </xf>
    <xf numFmtId="1" fontId="5" fillId="5" borderId="27" xfId="0" applyNumberFormat="1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/>
    <xf numFmtId="0" fontId="5" fillId="4" borderId="29" xfId="0" applyFont="1" applyFill="1" applyBorder="1" applyAlignment="1">
      <alignment horizontal="center" vertical="center"/>
    </xf>
    <xf numFmtId="0" fontId="2" fillId="2" borderId="0" xfId="0" quotePrefix="1" applyFont="1" applyFill="1" applyAlignment="1">
      <alignment horizontal="right"/>
    </xf>
    <xf numFmtId="169" fontId="13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1" fontId="17" fillId="5" borderId="27" xfId="0" applyNumberFormat="1" applyFont="1" applyFill="1" applyBorder="1" applyAlignment="1" applyProtection="1">
      <alignment horizontal="center"/>
      <protection locked="0"/>
    </xf>
    <xf numFmtId="0" fontId="8" fillId="4" borderId="33" xfId="0" applyFont="1" applyFill="1" applyBorder="1" applyAlignment="1">
      <alignment horizontal="center" vertical="center"/>
    </xf>
    <xf numFmtId="1" fontId="8" fillId="5" borderId="38" xfId="0" applyNumberFormat="1" applyFont="1" applyFill="1" applyBorder="1" applyAlignment="1">
      <alignment horizontal="center"/>
    </xf>
    <xf numFmtId="0" fontId="8" fillId="5" borderId="41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7" borderId="36" xfId="0" applyNumberFormat="1" applyFont="1" applyFill="1" applyBorder="1" applyAlignment="1" applyProtection="1">
      <alignment horizontal="center"/>
      <protection locked="0"/>
    </xf>
    <xf numFmtId="3" fontId="8" fillId="7" borderId="36" xfId="0" applyNumberFormat="1" applyFont="1" applyFill="1" applyBorder="1" applyAlignment="1" applyProtection="1">
      <alignment horizontal="center"/>
      <protection locked="0"/>
    </xf>
    <xf numFmtId="0" fontId="8" fillId="7" borderId="26" xfId="0" applyNumberFormat="1" applyFont="1" applyFill="1" applyBorder="1" applyAlignment="1" applyProtection="1">
      <alignment horizontal="center"/>
      <protection locked="0"/>
    </xf>
    <xf numFmtId="0" fontId="8" fillId="7" borderId="5" xfId="0" applyNumberFormat="1" applyFont="1" applyFill="1" applyBorder="1" applyAlignment="1" applyProtection="1">
      <alignment horizontal="center"/>
      <protection locked="0"/>
    </xf>
    <xf numFmtId="0" fontId="5" fillId="7" borderId="39" xfId="0" applyFont="1" applyFill="1" applyBorder="1" applyAlignment="1" applyProtection="1">
      <alignment horizontal="center"/>
      <protection locked="0"/>
    </xf>
    <xf numFmtId="0" fontId="8" fillId="7" borderId="40" xfId="0" applyFont="1" applyFill="1" applyBorder="1" applyAlignment="1" applyProtection="1">
      <alignment horizontal="center"/>
      <protection locked="0"/>
    </xf>
    <xf numFmtId="2" fontId="8" fillId="7" borderId="37" xfId="0" applyNumberFormat="1" applyFont="1" applyFill="1" applyBorder="1" applyAlignment="1" applyProtection="1">
      <alignment horizontal="center" vertical="center"/>
      <protection locked="0"/>
    </xf>
    <xf numFmtId="0" fontId="8" fillId="7" borderId="37" xfId="0" applyFont="1" applyFill="1" applyBorder="1" applyAlignment="1" applyProtection="1">
      <alignment horizontal="center" vertical="center"/>
      <protection locked="0"/>
    </xf>
    <xf numFmtId="2" fontId="18" fillId="2" borderId="0" xfId="0" applyNumberFormat="1" applyFont="1" applyFill="1" applyAlignment="1">
      <alignment horizontal="center"/>
    </xf>
    <xf numFmtId="0" fontId="13" fillId="2" borderId="1" xfId="0" applyFont="1" applyFill="1" applyBorder="1"/>
    <xf numFmtId="0" fontId="2" fillId="2" borderId="1" xfId="0" applyFont="1" applyFill="1" applyBorder="1"/>
    <xf numFmtId="0" fontId="19" fillId="5" borderId="11" xfId="0" applyFont="1" applyFill="1" applyBorder="1"/>
    <xf numFmtId="0" fontId="19" fillId="5" borderId="12" xfId="0" applyFont="1" applyFill="1" applyBorder="1"/>
    <xf numFmtId="0" fontId="20" fillId="5" borderId="11" xfId="0" applyFont="1" applyFill="1" applyBorder="1" applyAlignment="1"/>
    <xf numFmtId="0" fontId="20" fillId="5" borderId="23" xfId="0" applyFont="1" applyFill="1" applyBorder="1" applyAlignment="1">
      <alignment vertical="center"/>
    </xf>
    <xf numFmtId="2" fontId="1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3" fontId="23" fillId="5" borderId="24" xfId="0" applyNumberFormat="1" applyFont="1" applyFill="1" applyBorder="1" applyAlignment="1">
      <alignment horizontal="center"/>
    </xf>
    <xf numFmtId="10" fontId="23" fillId="5" borderId="25" xfId="1" applyNumberFormat="1" applyFont="1" applyFill="1" applyBorder="1" applyAlignment="1">
      <alignment horizontal="center"/>
    </xf>
    <xf numFmtId="3" fontId="23" fillId="5" borderId="11" xfId="0" applyNumberFormat="1" applyFont="1" applyFill="1" applyBorder="1" applyAlignment="1">
      <alignment horizontal="center"/>
    </xf>
    <xf numFmtId="10" fontId="23" fillId="5" borderId="12" xfId="1" applyNumberFormat="1" applyFont="1" applyFill="1" applyBorder="1" applyAlignment="1">
      <alignment horizontal="center"/>
    </xf>
    <xf numFmtId="3" fontId="23" fillId="5" borderId="23" xfId="0" applyNumberFormat="1" applyFont="1" applyFill="1" applyBorder="1" applyAlignment="1">
      <alignment horizontal="center"/>
    </xf>
    <xf numFmtId="10" fontId="23" fillId="5" borderId="15" xfId="1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 applyProtection="1">
      <alignment horizontal="center" wrapText="1"/>
      <protection locked="0"/>
    </xf>
    <xf numFmtId="0" fontId="0" fillId="0" borderId="30" xfId="0" applyBorder="1" applyAlignment="1">
      <alignment wrapText="1"/>
    </xf>
    <xf numFmtId="0" fontId="0" fillId="0" borderId="0" xfId="0" applyAlignment="1">
      <alignment wrapText="1"/>
    </xf>
    <xf numFmtId="0" fontId="0" fillId="0" borderId="27" xfId="0" applyBorder="1" applyAlignment="1">
      <alignment wrapText="1"/>
    </xf>
    <xf numFmtId="3" fontId="8" fillId="7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35" xfId="0" applyFill="1" applyBorder="1" applyAlignment="1" applyProtection="1">
      <alignment horizontal="center" vertical="center" wrapText="1"/>
      <protection locked="0"/>
    </xf>
    <xf numFmtId="167" fontId="21" fillId="5" borderId="42" xfId="1" applyNumberFormat="1" applyFont="1" applyFill="1" applyBorder="1" applyAlignment="1">
      <alignment vertical="center" wrapText="1"/>
    </xf>
    <xf numFmtId="0" fontId="22" fillId="0" borderId="12" xfId="0" applyFont="1" applyBorder="1" applyAlignment="1">
      <alignment wrapText="1"/>
    </xf>
    <xf numFmtId="0" fontId="22" fillId="0" borderId="42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6" fillId="6" borderId="14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6" borderId="28" xfId="0" applyFont="1" applyFill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D154"/>
  <sheetViews>
    <sheetView showGridLines="0" tabSelected="1" zoomScale="90" zoomScaleNormal="90" workbookViewId="0">
      <selection activeCell="C6" sqref="C6"/>
    </sheetView>
  </sheetViews>
  <sheetFormatPr baseColWidth="10" defaultRowHeight="15.75"/>
  <cols>
    <col min="1" max="1" width="2.7109375" style="2" customWidth="1"/>
    <col min="2" max="2" width="30.7109375" style="2" customWidth="1"/>
    <col min="3" max="3" width="13.5703125" style="2" customWidth="1"/>
    <col min="4" max="4" width="9.5703125" style="2" customWidth="1"/>
    <col min="5" max="5" width="11.7109375" style="2" customWidth="1"/>
    <col min="6" max="6" width="3.5703125" style="2" customWidth="1"/>
    <col min="7" max="7" width="32.7109375" style="2" customWidth="1"/>
    <col min="8" max="9" width="16.7109375" style="2" customWidth="1"/>
    <col min="10" max="10" width="19.5703125" style="2" customWidth="1"/>
    <col min="11" max="16" width="11.42578125" style="2" hidden="1" customWidth="1"/>
    <col min="17" max="17" width="13.7109375" style="2" hidden="1" customWidth="1"/>
    <col min="18" max="18" width="12" style="2" hidden="1" customWidth="1"/>
    <col min="19" max="19" width="11.42578125" style="2" hidden="1" customWidth="1"/>
    <col min="20" max="20" width="13.140625" style="2" hidden="1" customWidth="1"/>
    <col min="21" max="21" width="6.7109375" style="2" hidden="1" customWidth="1"/>
    <col min="22" max="22" width="11.42578125" style="2" hidden="1" customWidth="1"/>
    <col min="23" max="23" width="16.140625" style="2" hidden="1" customWidth="1"/>
    <col min="24" max="24" width="15.5703125" style="2" hidden="1" customWidth="1"/>
    <col min="25" max="25" width="18.140625" style="2" hidden="1" customWidth="1"/>
    <col min="26" max="26" width="8.42578125" style="2" hidden="1" customWidth="1"/>
    <col min="27" max="27" width="18.140625" style="2" hidden="1" customWidth="1"/>
    <col min="28" max="28" width="12.85546875" style="2" hidden="1" customWidth="1"/>
    <col min="29" max="56" width="11.42578125" style="2" hidden="1" customWidth="1"/>
    <col min="57" max="16384" width="11.42578125" style="2"/>
  </cols>
  <sheetData>
    <row r="1" spans="2:28" s="1" customFormat="1" ht="7.5" customHeight="1" thickBot="1"/>
    <row r="2" spans="2:28" ht="19.5" thickBot="1">
      <c r="B2" s="123" t="s">
        <v>68</v>
      </c>
      <c r="C2" s="124"/>
      <c r="D2" s="124"/>
      <c r="E2" s="125"/>
      <c r="F2" s="13"/>
      <c r="G2" s="123" t="s">
        <v>75</v>
      </c>
      <c r="H2" s="124"/>
      <c r="I2" s="124"/>
      <c r="J2" s="125"/>
      <c r="K2" s="141" t="s">
        <v>51</v>
      </c>
      <c r="L2" s="141"/>
      <c r="M2" s="141"/>
      <c r="N2" s="142"/>
      <c r="P2" s="140" t="s">
        <v>81</v>
      </c>
      <c r="Q2" s="141"/>
      <c r="R2" s="141"/>
      <c r="S2" s="142"/>
      <c r="U2" s="140" t="s">
        <v>19</v>
      </c>
      <c r="V2" s="141"/>
      <c r="W2" s="141"/>
      <c r="X2" s="141"/>
      <c r="Y2" s="141"/>
      <c r="Z2" s="141"/>
      <c r="AA2" s="141"/>
      <c r="AB2" s="142"/>
    </row>
    <row r="3" spans="2:28" ht="16.5" thickBot="1">
      <c r="B3" s="62"/>
      <c r="C3" s="59"/>
      <c r="D3" s="59"/>
      <c r="E3" s="63"/>
      <c r="G3" s="62"/>
      <c r="H3" s="59"/>
      <c r="I3" s="59"/>
      <c r="J3" s="65"/>
    </row>
    <row r="4" spans="2:28" ht="15" customHeight="1" thickBot="1">
      <c r="B4" s="73" t="s">
        <v>76</v>
      </c>
      <c r="C4" s="85" t="b">
        <v>1</v>
      </c>
      <c r="D4" s="92" t="b">
        <v>0</v>
      </c>
      <c r="E4" s="65"/>
      <c r="G4" s="62"/>
      <c r="H4" s="74" t="s">
        <v>71</v>
      </c>
      <c r="I4" s="74" t="s">
        <v>70</v>
      </c>
      <c r="J4" s="65"/>
      <c r="L4" s="3" t="s">
        <v>3</v>
      </c>
      <c r="M4" s="2" t="e">
        <f>Q41</f>
        <v>#NUM!</v>
      </c>
      <c r="P4" s="4" t="s">
        <v>52</v>
      </c>
      <c r="Q4" s="4" t="s">
        <v>49</v>
      </c>
      <c r="R4" s="4" t="s">
        <v>50</v>
      </c>
      <c r="U4" s="5" t="s">
        <v>6</v>
      </c>
      <c r="V4" s="5" t="s">
        <v>20</v>
      </c>
      <c r="W4" s="5" t="s">
        <v>55</v>
      </c>
      <c r="X4" s="5" t="s">
        <v>56</v>
      </c>
      <c r="Y4" s="5" t="s">
        <v>57</v>
      </c>
      <c r="Z4" s="5" t="s">
        <v>21</v>
      </c>
      <c r="AA4" s="5" t="s">
        <v>58</v>
      </c>
      <c r="AB4" s="5" t="s">
        <v>21</v>
      </c>
    </row>
    <row r="5" spans="2:28" ht="15" customHeight="1" thickBot="1">
      <c r="B5" s="66"/>
      <c r="C5" s="96" t="s">
        <v>35</v>
      </c>
      <c r="D5" s="96" t="s">
        <v>36</v>
      </c>
      <c r="E5" s="97" t="s">
        <v>6</v>
      </c>
      <c r="G5" s="84" t="s">
        <v>72</v>
      </c>
      <c r="H5" s="115" t="str">
        <f ca="1">IFERROR(ROUND(MAX(MIN(T59*SUM(M7:M92)/M4,S92),S91),2)*(1+T80)^(YEAR(S86)-YEAR(S87)),"")</f>
        <v/>
      </c>
      <c r="I5" s="116" t="str">
        <f ca="1">IFERROR(CONCATENATE(ROUND(H5/C8*100,2),"%"),"")</f>
        <v/>
      </c>
      <c r="J5" s="65"/>
      <c r="P5" s="2">
        <v>61</v>
      </c>
      <c r="Q5" s="46" t="e">
        <f>HLOOKUP(YEAR($S$87),$Q$106:$BD$126,ROW()-3)</f>
        <v>#NUM!</v>
      </c>
      <c r="R5" s="46" t="e">
        <f>HLOOKUP(YEAR($S$87),$Q$127:$BD$147,ROW()-3)</f>
        <v>#NUM!</v>
      </c>
      <c r="U5" s="6">
        <v>2013</v>
      </c>
      <c r="V5" s="7">
        <v>16</v>
      </c>
      <c r="W5" s="8">
        <f>65+(1/12)</f>
        <v>65.083333333333329</v>
      </c>
      <c r="X5" s="8">
        <f>35+(3/12)</f>
        <v>35.25</v>
      </c>
      <c r="Y5" s="9">
        <v>163</v>
      </c>
      <c r="Z5" s="10">
        <v>2.0999999999999999E-3</v>
      </c>
      <c r="AA5" s="9">
        <v>246</v>
      </c>
      <c r="AB5" s="11">
        <v>1.9E-3</v>
      </c>
    </row>
    <row r="6" spans="2:28" ht="16.5" thickBot="1">
      <c r="B6" s="64" t="s">
        <v>37</v>
      </c>
      <c r="C6" s="98"/>
      <c r="D6" s="98"/>
      <c r="E6" s="105"/>
      <c r="G6" s="77"/>
      <c r="H6" s="109"/>
      <c r="I6" s="110"/>
      <c r="J6" s="65"/>
      <c r="K6" s="55" t="s">
        <v>6</v>
      </c>
      <c r="L6" s="4" t="s">
        <v>53</v>
      </c>
      <c r="M6" s="4" t="s">
        <v>54</v>
      </c>
      <c r="P6" s="2">
        <v>62</v>
      </c>
      <c r="Q6" s="46" t="e">
        <f t="shared" ref="Q6:Q24" si="0">HLOOKUP(YEAR($S$87),$Q$106:$BD$126,ROW()-3)</f>
        <v>#NUM!</v>
      </c>
      <c r="R6" s="46" t="e">
        <f t="shared" ref="R6:R24" si="1">HLOOKUP(YEAR($S$87),$Q$127:$BD$147,ROW()-3)</f>
        <v>#NUM!</v>
      </c>
      <c r="U6" s="6">
        <v>2014</v>
      </c>
      <c r="V6" s="7">
        <v>17</v>
      </c>
      <c r="W6" s="8">
        <f>65+(2/12)</f>
        <v>65.166666666666671</v>
      </c>
      <c r="X6" s="8">
        <f>35+(6/12)</f>
        <v>35.5</v>
      </c>
      <c r="Y6" s="9">
        <v>163</v>
      </c>
      <c r="Z6" s="10">
        <v>2.0999999999999999E-3</v>
      </c>
      <c r="AA6" s="9">
        <v>246</v>
      </c>
      <c r="AB6" s="11">
        <v>1.9E-3</v>
      </c>
    </row>
    <row r="7" spans="2:28" ht="19.5" thickBot="1">
      <c r="B7" s="66"/>
      <c r="C7" s="60"/>
      <c r="D7" s="59"/>
      <c r="E7" s="68"/>
      <c r="G7" s="84" t="s">
        <v>73</v>
      </c>
      <c r="H7" s="117" t="str">
        <f ca="1">IFERROR(MIN(T95,C9),"")</f>
        <v/>
      </c>
      <c r="I7" s="118" t="str">
        <f ca="1">IFERROR(CONCATENATE(ROUND(H7/C8*100,2),"%"),"")</f>
        <v/>
      </c>
      <c r="J7" s="65"/>
      <c r="K7" s="2">
        <v>1975</v>
      </c>
      <c r="L7" s="12">
        <f t="shared" ref="L7:L38" ca="1" si="2">IF(K7=YEAR($S$86),12*$E$14,IF(K7=YEAR($S$86)-1,12*$E$13,IF(K7&lt;YEAR($S$86)-1,L8/(1+$T$80),IF($C$16=$U$23,L6*(1+$T$80),CHOOSE($S$103,IF(K7&lt;$S$102,$S$96*12*(1+$T$80)^(K7-YEAR($S$86)),$S$99*12*(1+$T$80)^(K7-YEAR($S$86))),IF(K7&lt;$S$101,$S$96*12*(1+$T$80)^(K7-YEAR($S$86)),$S$99*12*(1+$T$80)^(K7-YEAR($S$86))),$S$99*12*(1+$T$80)^(K7-YEAR($S$86)),MAX($S$97,MIN(Base,$S$99))*12*(1+$T$80)^(K7-YEAR($S$86)))))))</f>
        <v>0</v>
      </c>
      <c r="M7" s="12" t="e">
        <f t="shared" ref="M7:M70" si="3">IF(K7&gt;=YEAR($S$87),0,IF(K7&gt;=YEAR($S$87)-$M$4,L7*(1+$T$80)^(MAX(YEAR($S$87)-K7-3,0)),0))</f>
        <v>#NUM!</v>
      </c>
      <c r="P7" s="2">
        <v>63</v>
      </c>
      <c r="Q7" s="46" t="e">
        <f t="shared" si="0"/>
        <v>#NUM!</v>
      </c>
      <c r="R7" s="46" t="e">
        <f t="shared" si="1"/>
        <v>#NUM!</v>
      </c>
      <c r="U7" s="6">
        <v>2015</v>
      </c>
      <c r="V7" s="7">
        <v>18</v>
      </c>
      <c r="W7" s="8">
        <f>65+(3/12)</f>
        <v>65.25</v>
      </c>
      <c r="X7" s="8">
        <f>35+(9/12)</f>
        <v>35.75</v>
      </c>
      <c r="Y7" s="9">
        <v>163</v>
      </c>
      <c r="Z7" s="10">
        <v>2.0999999999999999E-3</v>
      </c>
      <c r="AA7" s="9">
        <v>246</v>
      </c>
      <c r="AB7" s="11">
        <v>1.9E-3</v>
      </c>
    </row>
    <row r="8" spans="2:28" ht="15" customHeight="1" thickBot="1">
      <c r="B8" s="87" t="s">
        <v>77</v>
      </c>
      <c r="C8" s="99"/>
      <c r="D8" s="59"/>
      <c r="E8" s="65"/>
      <c r="G8" s="78"/>
      <c r="H8" s="109"/>
      <c r="I8" s="110"/>
      <c r="J8" s="65"/>
      <c r="K8" s="2">
        <v>1976</v>
      </c>
      <c r="L8" s="12">
        <f t="shared" ca="1" si="2"/>
        <v>0</v>
      </c>
      <c r="M8" s="12" t="e">
        <f t="shared" si="3"/>
        <v>#NUM!</v>
      </c>
      <c r="P8" s="2">
        <v>64</v>
      </c>
      <c r="Q8" s="46" t="e">
        <f t="shared" si="0"/>
        <v>#NUM!</v>
      </c>
      <c r="R8" s="46" t="e">
        <f t="shared" si="1"/>
        <v>#NUM!</v>
      </c>
      <c r="U8" s="6">
        <v>2016</v>
      </c>
      <c r="V8" s="7">
        <v>19</v>
      </c>
      <c r="W8" s="8">
        <f>65+(4/12)</f>
        <v>65.333333333333329</v>
      </c>
      <c r="X8" s="8">
        <f>36+(0/12)</f>
        <v>36</v>
      </c>
      <c r="Y8" s="9">
        <v>163</v>
      </c>
      <c r="Z8" s="10">
        <v>2.0999999999999999E-3</v>
      </c>
      <c r="AA8" s="9">
        <v>246</v>
      </c>
      <c r="AB8" s="11">
        <v>1.9E-3</v>
      </c>
    </row>
    <row r="9" spans="2:28" ht="16.5" customHeight="1" thickBot="1">
      <c r="B9" s="129" t="s">
        <v>100</v>
      </c>
      <c r="C9" s="135"/>
      <c r="D9" s="137" t="str">
        <f>IF(Ahorro_máximo_anual=0,"",ROUND(Ahorro_máximo_anual/Ingresos,3)*100&amp;"% "&amp;"ingresos")</f>
        <v/>
      </c>
      <c r="E9" s="138"/>
      <c r="G9" s="84" t="s">
        <v>74</v>
      </c>
      <c r="H9" s="119" t="str">
        <f ca="1">IFERROR(ROUND(S93/T95*H7,2)+H5,"")</f>
        <v/>
      </c>
      <c r="I9" s="120" t="str">
        <f ca="1">IFERROR(CONCATENATE(ROUND(H9/C8*100,2),"%"),"")</f>
        <v/>
      </c>
      <c r="J9" s="65"/>
      <c r="K9" s="2">
        <v>1977</v>
      </c>
      <c r="L9" s="12">
        <f t="shared" ca="1" si="2"/>
        <v>0</v>
      </c>
      <c r="M9" s="12" t="e">
        <f t="shared" si="3"/>
        <v>#NUM!</v>
      </c>
      <c r="P9" s="2">
        <v>65</v>
      </c>
      <c r="Q9" s="46" t="e">
        <f t="shared" si="0"/>
        <v>#NUM!</v>
      </c>
      <c r="R9" s="46" t="e">
        <f t="shared" si="1"/>
        <v>#NUM!</v>
      </c>
      <c r="U9" s="6">
        <v>2017</v>
      </c>
      <c r="V9" s="7">
        <v>20</v>
      </c>
      <c r="W9" s="8">
        <f>65+(5/12)</f>
        <v>65.416666666666671</v>
      </c>
      <c r="X9" s="8">
        <f>36+(3/12)</f>
        <v>36.25</v>
      </c>
      <c r="Y9" s="9">
        <v>163</v>
      </c>
      <c r="Z9" s="10">
        <v>2.0999999999999999E-3</v>
      </c>
      <c r="AA9" s="9">
        <v>246</v>
      </c>
      <c r="AB9" s="11">
        <v>1.9E-3</v>
      </c>
    </row>
    <row r="10" spans="2:28" ht="16.5" thickBot="1">
      <c r="B10" s="130"/>
      <c r="C10" s="136"/>
      <c r="D10" s="139"/>
      <c r="E10" s="138"/>
      <c r="G10" s="62"/>
      <c r="H10" s="59"/>
      <c r="I10" s="59"/>
      <c r="J10" s="65"/>
      <c r="K10" s="2">
        <v>1978</v>
      </c>
      <c r="L10" s="12">
        <f t="shared" ca="1" si="2"/>
        <v>0</v>
      </c>
      <c r="M10" s="12" t="e">
        <f t="shared" si="3"/>
        <v>#NUM!</v>
      </c>
      <c r="P10" s="2">
        <v>66</v>
      </c>
      <c r="Q10" s="46" t="e">
        <f t="shared" si="0"/>
        <v>#NUM!</v>
      </c>
      <c r="R10" s="46" t="e">
        <f t="shared" si="1"/>
        <v>#NUM!</v>
      </c>
      <c r="U10" s="6">
        <v>2018</v>
      </c>
      <c r="V10" s="7">
        <v>21</v>
      </c>
      <c r="W10" s="8">
        <f>65+(6/12)</f>
        <v>65.5</v>
      </c>
      <c r="X10" s="8">
        <f>36+(6/12)</f>
        <v>36.5</v>
      </c>
      <c r="Y10" s="9">
        <v>163</v>
      </c>
      <c r="Z10" s="10">
        <v>2.0999999999999999E-3</v>
      </c>
      <c r="AA10" s="9">
        <v>246</v>
      </c>
      <c r="AB10" s="11">
        <v>1.9E-3</v>
      </c>
    </row>
    <row r="11" spans="2:28" ht="19.5" thickBot="1">
      <c r="B11" s="66"/>
      <c r="C11" s="93" t="s">
        <v>38</v>
      </c>
      <c r="D11" s="58" t="s">
        <v>9</v>
      </c>
      <c r="E11" s="68"/>
      <c r="G11" s="123" t="s">
        <v>93</v>
      </c>
      <c r="H11" s="124"/>
      <c r="I11" s="124"/>
      <c r="J11" s="125"/>
      <c r="K11" s="2">
        <v>1979</v>
      </c>
      <c r="L11" s="12">
        <f t="shared" ca="1" si="2"/>
        <v>0</v>
      </c>
      <c r="M11" s="12" t="e">
        <f t="shared" si="3"/>
        <v>#NUM!</v>
      </c>
      <c r="P11" s="2">
        <v>67</v>
      </c>
      <c r="Q11" s="46" t="e">
        <f t="shared" si="0"/>
        <v>#NUM!</v>
      </c>
      <c r="R11" s="46" t="e">
        <f t="shared" si="1"/>
        <v>#NUM!</v>
      </c>
      <c r="U11" s="6">
        <v>2019</v>
      </c>
      <c r="V11" s="7">
        <v>22</v>
      </c>
      <c r="W11" s="8">
        <f>65+(8/12)</f>
        <v>65.666666666666671</v>
      </c>
      <c r="X11" s="8">
        <f>36+(9/12)</f>
        <v>36.75</v>
      </c>
      <c r="Y11" s="9">
        <v>163</v>
      </c>
      <c r="Z11" s="10">
        <v>2.0999999999999999E-3</v>
      </c>
      <c r="AA11" s="9">
        <v>246</v>
      </c>
      <c r="AB11" s="11">
        <v>1.9E-3</v>
      </c>
    </row>
    <row r="12" spans="2:28" ht="16.5" thickBot="1">
      <c r="B12" s="67" t="s">
        <v>67</v>
      </c>
      <c r="C12" s="100"/>
      <c r="D12" s="101"/>
      <c r="E12" s="68"/>
      <c r="G12" s="79"/>
      <c r="H12" s="61"/>
      <c r="I12" s="61"/>
      <c r="J12" s="80"/>
      <c r="K12" s="2">
        <v>1980</v>
      </c>
      <c r="L12" s="12">
        <f t="shared" ca="1" si="2"/>
        <v>0</v>
      </c>
      <c r="M12" s="12" t="e">
        <f t="shared" si="3"/>
        <v>#NUM!</v>
      </c>
      <c r="P12" s="2">
        <v>68</v>
      </c>
      <c r="Q12" s="46" t="e">
        <f t="shared" si="0"/>
        <v>#NUM!</v>
      </c>
      <c r="R12" s="46" t="e">
        <f t="shared" si="1"/>
        <v>#NUM!</v>
      </c>
      <c r="U12" s="6">
        <v>2020</v>
      </c>
      <c r="V12" s="7">
        <v>23</v>
      </c>
      <c r="W12" s="8">
        <f>65+(10/12)</f>
        <v>65.833333333333329</v>
      </c>
      <c r="X12" s="8">
        <f>37+(0/12)</f>
        <v>37</v>
      </c>
      <c r="Y12" s="9">
        <v>106</v>
      </c>
      <c r="Z12" s="10">
        <v>2.0999999999999999E-3</v>
      </c>
      <c r="AA12" s="9">
        <v>252</v>
      </c>
      <c r="AB12" s="11">
        <v>1.9E-3</v>
      </c>
    </row>
    <row r="13" spans="2:28" ht="14.25" customHeight="1" thickBot="1">
      <c r="B13" s="126" t="s">
        <v>111</v>
      </c>
      <c r="C13" s="127"/>
      <c r="D13" s="128"/>
      <c r="E13" s="104"/>
      <c r="G13" s="143" t="str">
        <f>IFERROR(IF(C16=U23,U23,CHOOSE(S103,CONCATENATE("Cotizar por la base mínima hasta ",S102-1),CONCATENATE("Cotizar por la base mínima hasta ",S101-1),CONCATENATE("Cotizar por la base óptima, ",ROUND(S99*(1+T80),2)," euros, a partir del próximo año"),CONCATENATE("Cotizar por la base óptima, ",ROUND(MAX(MIN(S99,Base),S97)*(1+T80),2)," euros, a partir del próximo año"))),"")</f>
        <v>Cotizar como ahora aumentando el IPC</v>
      </c>
      <c r="H13" s="144"/>
      <c r="I13" s="144"/>
      <c r="J13" s="145"/>
      <c r="K13" s="2">
        <v>1981</v>
      </c>
      <c r="L13" s="12">
        <f t="shared" ca="1" si="2"/>
        <v>0</v>
      </c>
      <c r="M13" s="12" t="e">
        <f t="shared" si="3"/>
        <v>#NUM!</v>
      </c>
      <c r="P13" s="2">
        <v>69</v>
      </c>
      <c r="Q13" s="46" t="e">
        <f t="shared" si="0"/>
        <v>#NUM!</v>
      </c>
      <c r="R13" s="46" t="e">
        <f t="shared" si="1"/>
        <v>#NUM!</v>
      </c>
      <c r="U13" s="6">
        <v>2021</v>
      </c>
      <c r="V13" s="7">
        <v>24</v>
      </c>
      <c r="W13" s="8">
        <f>66+(0/12)</f>
        <v>66</v>
      </c>
      <c r="X13" s="8">
        <f>37+(3/12)</f>
        <v>37.25</v>
      </c>
      <c r="Y13" s="9">
        <v>106</v>
      </c>
      <c r="Z13" s="10">
        <v>2.0999999999999999E-3</v>
      </c>
      <c r="AA13" s="9">
        <v>252</v>
      </c>
      <c r="AB13" s="11">
        <v>1.9E-3</v>
      </c>
    </row>
    <row r="14" spans="2:28" ht="16.5" thickBot="1">
      <c r="B14" s="126" t="s">
        <v>112</v>
      </c>
      <c r="C14" s="127"/>
      <c r="D14" s="128"/>
      <c r="E14" s="104"/>
      <c r="G14" s="143" t="str">
        <f>IFERROR(IF(C16=U23,"",CHOOSE(S103,CONCATENATE("Luego, cotizar por la base óptima, ",ROUND(S99*(1+T80)^(S102-YEAR(S86)),2)," euros aprox."),CONCATENATE("Luego, cotizar por la base óptima, ",ROUND(S99*(1+T80)^(S101-YEAR(S86)),2)," euros aprox."),"","")),"")</f>
        <v/>
      </c>
      <c r="H14" s="144"/>
      <c r="I14" s="144"/>
      <c r="J14" s="145"/>
      <c r="K14" s="2">
        <v>1982</v>
      </c>
      <c r="L14" s="12">
        <f t="shared" ca="1" si="2"/>
        <v>0</v>
      </c>
      <c r="M14" s="12" t="e">
        <f t="shared" si="3"/>
        <v>#NUM!</v>
      </c>
      <c r="P14" s="2">
        <v>70</v>
      </c>
      <c r="Q14" s="46" t="e">
        <f t="shared" si="0"/>
        <v>#NUM!</v>
      </c>
      <c r="R14" s="46" t="e">
        <f t="shared" si="1"/>
        <v>#NUM!</v>
      </c>
      <c r="U14" s="6">
        <v>2022</v>
      </c>
      <c r="V14" s="7">
        <v>25</v>
      </c>
      <c r="W14" s="8">
        <f>66+(2/12)</f>
        <v>66.166666666666671</v>
      </c>
      <c r="X14" s="8">
        <f>37+(6/12)</f>
        <v>37.5</v>
      </c>
      <c r="Y14" s="9">
        <v>106</v>
      </c>
      <c r="Z14" s="10">
        <v>2.0999999999999999E-3</v>
      </c>
      <c r="AA14" s="9">
        <v>252</v>
      </c>
      <c r="AB14" s="11">
        <v>1.9E-3</v>
      </c>
    </row>
    <row r="15" spans="2:28" ht="16.5" thickBot="1">
      <c r="B15" s="126" t="s">
        <v>87</v>
      </c>
      <c r="C15" s="127"/>
      <c r="D15" s="128"/>
      <c r="E15" s="65"/>
      <c r="G15" s="82"/>
      <c r="H15" s="83"/>
      <c r="I15" s="83"/>
      <c r="J15" s="71"/>
      <c r="K15" s="2">
        <v>1983</v>
      </c>
      <c r="L15" s="12">
        <f t="shared" ca="1" si="2"/>
        <v>0</v>
      </c>
      <c r="M15" s="12" t="e">
        <f t="shared" si="3"/>
        <v>#NUM!</v>
      </c>
      <c r="P15" s="2">
        <v>71</v>
      </c>
      <c r="Q15" s="46" t="e">
        <f t="shared" si="0"/>
        <v>#NUM!</v>
      </c>
      <c r="R15" s="46" t="e">
        <f t="shared" si="1"/>
        <v>#NUM!</v>
      </c>
      <c r="U15" s="6">
        <v>2023</v>
      </c>
      <c r="V15" s="7">
        <v>25</v>
      </c>
      <c r="W15" s="8">
        <f>66+(4/12)</f>
        <v>66.333333333333329</v>
      </c>
      <c r="X15" s="8">
        <f>37+(9/12)</f>
        <v>37.75</v>
      </c>
      <c r="Y15" s="9">
        <v>49</v>
      </c>
      <c r="Z15" s="10">
        <v>2.0999999999999999E-3</v>
      </c>
      <c r="AA15" s="9">
        <v>258</v>
      </c>
      <c r="AB15" s="11">
        <v>1.9E-3</v>
      </c>
    </row>
    <row r="16" spans="2:28">
      <c r="B16" s="69"/>
      <c r="C16" s="131" t="s">
        <v>86</v>
      </c>
      <c r="D16" s="132"/>
      <c r="E16" s="65"/>
      <c r="G16" s="111" t="s">
        <v>95</v>
      </c>
      <c r="H16" s="61"/>
      <c r="I16" s="61"/>
      <c r="J16" s="80"/>
      <c r="K16" s="2">
        <v>1984</v>
      </c>
      <c r="L16" s="12">
        <f t="shared" ca="1" si="2"/>
        <v>0</v>
      </c>
      <c r="M16" s="12" t="e">
        <f t="shared" si="3"/>
        <v>#NUM!</v>
      </c>
      <c r="P16" s="2">
        <v>72</v>
      </c>
      <c r="Q16" s="46" t="e">
        <f t="shared" si="0"/>
        <v>#NUM!</v>
      </c>
      <c r="R16" s="46" t="e">
        <f t="shared" si="1"/>
        <v>#NUM!</v>
      </c>
      <c r="U16" s="6">
        <v>2024</v>
      </c>
      <c r="V16" s="7">
        <v>25</v>
      </c>
      <c r="W16" s="8">
        <f>66+(6/12)</f>
        <v>66.5</v>
      </c>
      <c r="X16" s="8">
        <f>38+(0/12)</f>
        <v>38</v>
      </c>
      <c r="Y16" s="9">
        <v>49</v>
      </c>
      <c r="Z16" s="10">
        <v>2.0999999999999999E-3</v>
      </c>
      <c r="AA16" s="9">
        <v>258</v>
      </c>
      <c r="AB16" s="11">
        <v>1.9E-3</v>
      </c>
    </row>
    <row r="17" spans="1:33">
      <c r="B17" s="69"/>
      <c r="C17" s="133"/>
      <c r="D17" s="133"/>
      <c r="E17" s="65"/>
      <c r="G17" s="111" t="s">
        <v>107</v>
      </c>
      <c r="H17" s="61"/>
      <c r="I17" s="61"/>
      <c r="J17" s="80"/>
      <c r="K17" s="2">
        <v>1985</v>
      </c>
      <c r="L17" s="12">
        <f t="shared" ca="1" si="2"/>
        <v>0</v>
      </c>
      <c r="M17" s="12" t="e">
        <f t="shared" si="3"/>
        <v>#NUM!</v>
      </c>
      <c r="P17" s="2">
        <v>73</v>
      </c>
      <c r="Q17" s="46" t="e">
        <f t="shared" si="0"/>
        <v>#NUM!</v>
      </c>
      <c r="R17" s="46" t="e">
        <f t="shared" si="1"/>
        <v>#NUM!</v>
      </c>
      <c r="U17" s="6">
        <v>2025</v>
      </c>
      <c r="V17" s="7">
        <v>25</v>
      </c>
      <c r="W17" s="8">
        <f>66+(8/12)</f>
        <v>66.666666666666671</v>
      </c>
      <c r="X17" s="8">
        <f>38+(3/12)</f>
        <v>38.25</v>
      </c>
      <c r="Y17" s="9">
        <v>49</v>
      </c>
      <c r="Z17" s="10">
        <v>2.0999999999999999E-3</v>
      </c>
      <c r="AA17" s="9">
        <v>258</v>
      </c>
      <c r="AB17" s="11">
        <v>1.9E-3</v>
      </c>
    </row>
    <row r="18" spans="1:33" ht="16.5" thickBot="1">
      <c r="B18" s="69"/>
      <c r="C18" s="134"/>
      <c r="D18" s="134"/>
      <c r="E18" s="65"/>
      <c r="G18" s="111" t="s">
        <v>108</v>
      </c>
      <c r="H18" s="61"/>
      <c r="I18" s="61"/>
      <c r="J18" s="80"/>
      <c r="K18" s="2">
        <v>1986</v>
      </c>
      <c r="L18" s="12">
        <f t="shared" ca="1" si="2"/>
        <v>0</v>
      </c>
      <c r="M18" s="12" t="e">
        <f t="shared" si="3"/>
        <v>#NUM!</v>
      </c>
      <c r="P18" s="2">
        <v>74</v>
      </c>
      <c r="Q18" s="46" t="e">
        <f t="shared" si="0"/>
        <v>#NUM!</v>
      </c>
      <c r="R18" s="46" t="e">
        <f t="shared" si="1"/>
        <v>#NUM!</v>
      </c>
      <c r="U18" s="6">
        <v>2026</v>
      </c>
      <c r="V18" s="7">
        <v>25</v>
      </c>
      <c r="W18" s="8">
        <f>66+(10/12)</f>
        <v>66.833333333333329</v>
      </c>
      <c r="X18" s="8">
        <f>38+(3/12)</f>
        <v>38.25</v>
      </c>
      <c r="Y18" s="9">
        <v>49</v>
      </c>
      <c r="Z18" s="10">
        <v>2.0999999999999999E-3</v>
      </c>
      <c r="AA18" s="9">
        <v>258</v>
      </c>
      <c r="AB18" s="11">
        <v>1.9E-3</v>
      </c>
    </row>
    <row r="19" spans="1:33" ht="16.5" thickBot="1">
      <c r="B19" s="62"/>
      <c r="C19" s="58" t="s">
        <v>38</v>
      </c>
      <c r="D19" s="58" t="s">
        <v>9</v>
      </c>
      <c r="E19" s="70"/>
      <c r="G19" s="111" t="s">
        <v>109</v>
      </c>
      <c r="H19" s="61"/>
      <c r="I19" s="61"/>
      <c r="J19" s="80"/>
      <c r="K19" s="2">
        <v>1987</v>
      </c>
      <c r="L19" s="12">
        <f t="shared" ca="1" si="2"/>
        <v>0</v>
      </c>
      <c r="M19" s="12" t="e">
        <f t="shared" si="3"/>
        <v>#NUM!</v>
      </c>
      <c r="P19" s="2">
        <v>75</v>
      </c>
      <c r="Q19" s="46" t="e">
        <f t="shared" si="0"/>
        <v>#NUM!</v>
      </c>
      <c r="R19" s="46" t="e">
        <f t="shared" si="1"/>
        <v>#NUM!</v>
      </c>
      <c r="U19" s="6">
        <v>2027</v>
      </c>
      <c r="V19" s="7">
        <v>25</v>
      </c>
      <c r="W19" s="8">
        <v>67</v>
      </c>
      <c r="X19" s="8">
        <f>38+(6/12)</f>
        <v>38.5</v>
      </c>
      <c r="Y19" s="9">
        <v>248</v>
      </c>
      <c r="Z19" s="10">
        <v>1.9E-3</v>
      </c>
      <c r="AA19" s="9">
        <v>264</v>
      </c>
      <c r="AB19" s="11">
        <v>1.8E-3</v>
      </c>
    </row>
    <row r="20" spans="1:33" ht="16.5" thickBot="1">
      <c r="B20" s="72" t="s">
        <v>69</v>
      </c>
      <c r="C20" s="102"/>
      <c r="D20" s="103"/>
      <c r="E20" s="65"/>
      <c r="G20" s="111" t="s">
        <v>110</v>
      </c>
      <c r="H20" s="61"/>
      <c r="I20" s="61"/>
      <c r="J20" s="80"/>
      <c r="K20" s="2">
        <v>1988</v>
      </c>
      <c r="L20" s="12">
        <f t="shared" ca="1" si="2"/>
        <v>0</v>
      </c>
      <c r="M20" s="12" t="e">
        <f t="shared" si="3"/>
        <v>#NUM!</v>
      </c>
      <c r="P20" s="2">
        <v>76</v>
      </c>
      <c r="Q20" s="46" t="e">
        <f t="shared" si="0"/>
        <v>#NUM!</v>
      </c>
      <c r="R20" s="46" t="e">
        <f t="shared" si="1"/>
        <v>#NUM!</v>
      </c>
    </row>
    <row r="21" spans="1:33" ht="16.5" thickBot="1">
      <c r="B21" s="75" t="s">
        <v>41</v>
      </c>
      <c r="C21" s="94" t="str">
        <f ca="1">IFERROR(T73,"")</f>
        <v/>
      </c>
      <c r="D21" s="95" t="str">
        <f ca="1">IFERROR(T74,"")</f>
        <v/>
      </c>
      <c r="E21" s="71"/>
      <c r="G21" s="111" t="s">
        <v>105</v>
      </c>
      <c r="H21" s="61"/>
      <c r="I21" s="61"/>
      <c r="J21" s="80"/>
      <c r="K21" s="2">
        <v>1989</v>
      </c>
      <c r="L21" s="12">
        <f t="shared" ca="1" si="2"/>
        <v>0</v>
      </c>
      <c r="M21" s="12" t="e">
        <f t="shared" si="3"/>
        <v>#NUM!</v>
      </c>
      <c r="P21" s="2">
        <v>77</v>
      </c>
      <c r="Q21" s="46" t="e">
        <f t="shared" si="0"/>
        <v>#NUM!</v>
      </c>
      <c r="R21" s="46" t="e">
        <f t="shared" si="1"/>
        <v>#NUM!</v>
      </c>
      <c r="U21" s="140" t="s">
        <v>101</v>
      </c>
      <c r="V21" s="141"/>
      <c r="W21" s="141"/>
      <c r="X21" s="142"/>
    </row>
    <row r="22" spans="1:33">
      <c r="G22" s="111" t="s">
        <v>106</v>
      </c>
      <c r="H22" s="61"/>
      <c r="I22" s="61"/>
      <c r="J22" s="80"/>
      <c r="K22" s="2">
        <v>1990</v>
      </c>
      <c r="L22" s="12">
        <f t="shared" ca="1" si="2"/>
        <v>0</v>
      </c>
      <c r="M22" s="12" t="e">
        <f t="shared" si="3"/>
        <v>#NUM!</v>
      </c>
      <c r="P22" s="2">
        <v>78</v>
      </c>
      <c r="Q22" s="46" t="e">
        <f t="shared" si="0"/>
        <v>#NUM!</v>
      </c>
      <c r="R22" s="46" t="e">
        <f t="shared" si="1"/>
        <v>#NUM!</v>
      </c>
      <c r="U22" s="49" t="s">
        <v>104</v>
      </c>
    </row>
    <row r="23" spans="1:33" ht="21.75" thickBot="1">
      <c r="A23" s="121" t="str">
        <f ca="1">IFERROR(IF(AND(E13&lt;&gt;"",E14&lt;&gt;"",OR(Base&lt;AA93,Base&gt;AB93))=TRUE,"Bases de cotización incompatibles",IF(Año+Años_cotizados&gt;YEAR(S86)-16,"Año de nacimiento y/o años cotizados incoherentes",IF(AND(Años_edad_jubilación+Meses_edad_jubilación/12&lt;C21+D21/12,Años_edad_jubilación&lt;&gt;"")=TRUE,"Edad de jubilación prevista incoherente",""))),"")</f>
        <v/>
      </c>
      <c r="B23" s="121"/>
      <c r="C23" s="121"/>
      <c r="D23" s="121"/>
      <c r="E23" s="121"/>
      <c r="F23" s="122"/>
      <c r="G23" s="112" t="s">
        <v>88</v>
      </c>
      <c r="H23" s="76"/>
      <c r="I23" s="76"/>
      <c r="J23" s="81"/>
      <c r="K23" s="2">
        <v>1991</v>
      </c>
      <c r="L23" s="12">
        <f t="shared" ca="1" si="2"/>
        <v>0</v>
      </c>
      <c r="M23" s="12" t="e">
        <f t="shared" si="3"/>
        <v>#NUM!</v>
      </c>
      <c r="P23" s="2">
        <v>79</v>
      </c>
      <c r="Q23" s="46" t="e">
        <f t="shared" si="0"/>
        <v>#NUM!</v>
      </c>
      <c r="R23" s="46" t="e">
        <f t="shared" si="1"/>
        <v>#NUM!</v>
      </c>
      <c r="U23" s="49" t="s">
        <v>86</v>
      </c>
    </row>
    <row r="24" spans="1:33">
      <c r="D24" s="17"/>
      <c r="K24" s="2">
        <v>1992</v>
      </c>
      <c r="L24" s="12">
        <f t="shared" ca="1" si="2"/>
        <v>0</v>
      </c>
      <c r="M24" s="12" t="e">
        <f t="shared" si="3"/>
        <v>#NUM!</v>
      </c>
      <c r="P24" s="2">
        <v>80</v>
      </c>
      <c r="Q24" s="46" t="e">
        <f t="shared" si="0"/>
        <v>#NUM!</v>
      </c>
      <c r="R24" s="46" t="e">
        <f t="shared" si="1"/>
        <v>#NUM!</v>
      </c>
    </row>
    <row r="25" spans="1:33">
      <c r="K25" s="2">
        <v>1993</v>
      </c>
      <c r="L25" s="12">
        <f t="shared" ca="1" si="2"/>
        <v>0</v>
      </c>
      <c r="M25" s="12" t="e">
        <f t="shared" si="3"/>
        <v>#NUM!</v>
      </c>
      <c r="AG25" s="13"/>
    </row>
    <row r="26" spans="1:33">
      <c r="K26" s="2">
        <v>1994</v>
      </c>
      <c r="L26" s="12">
        <f t="shared" ca="1" si="2"/>
        <v>0</v>
      </c>
      <c r="M26" s="12" t="e">
        <f t="shared" si="3"/>
        <v>#NUM!</v>
      </c>
    </row>
    <row r="27" spans="1:33">
      <c r="K27" s="2">
        <v>1995</v>
      </c>
      <c r="L27" s="12">
        <f t="shared" ca="1" si="2"/>
        <v>0</v>
      </c>
      <c r="M27" s="12" t="e">
        <f t="shared" si="3"/>
        <v>#NUM!</v>
      </c>
    </row>
    <row r="28" spans="1:33">
      <c r="K28" s="2">
        <v>1996</v>
      </c>
      <c r="L28" s="12">
        <f t="shared" ca="1" si="2"/>
        <v>0</v>
      </c>
      <c r="M28" s="12" t="e">
        <f t="shared" si="3"/>
        <v>#NUM!</v>
      </c>
      <c r="P28" s="140" t="s">
        <v>4</v>
      </c>
      <c r="Q28" s="141"/>
      <c r="R28" s="141"/>
      <c r="S28" s="141"/>
      <c r="T28" s="141"/>
      <c r="U28" s="141"/>
      <c r="V28" s="141"/>
      <c r="W28" s="142"/>
      <c r="Y28" s="140" t="s">
        <v>30</v>
      </c>
      <c r="Z28" s="141"/>
      <c r="AA28" s="141"/>
      <c r="AB28" s="142"/>
    </row>
    <row r="29" spans="1:33" ht="16.5" thickBot="1">
      <c r="K29" s="2">
        <v>1997</v>
      </c>
      <c r="L29" s="12">
        <f t="shared" ca="1" si="2"/>
        <v>0</v>
      </c>
      <c r="M29" s="12" t="e">
        <f t="shared" si="3"/>
        <v>#NUM!</v>
      </c>
    </row>
    <row r="30" spans="1:33" ht="16.5" thickBot="1">
      <c r="K30" s="2">
        <v>1998</v>
      </c>
      <c r="L30" s="12">
        <f t="shared" ca="1" si="2"/>
        <v>0</v>
      </c>
      <c r="M30" s="12" t="e">
        <f t="shared" si="3"/>
        <v>#NUM!</v>
      </c>
      <c r="T30" s="3" t="s">
        <v>13</v>
      </c>
      <c r="U30" s="14" t="e">
        <f>YEAR(S87)</f>
        <v>#NUM!</v>
      </c>
      <c r="Z30" s="4" t="s">
        <v>6</v>
      </c>
      <c r="AA30" s="4" t="s">
        <v>31</v>
      </c>
      <c r="AB30" s="45" t="s">
        <v>78</v>
      </c>
    </row>
    <row r="31" spans="1:33" ht="16.5" thickBot="1">
      <c r="K31" s="2">
        <v>1999</v>
      </c>
      <c r="L31" s="12">
        <f t="shared" ca="1" si="2"/>
        <v>0</v>
      </c>
      <c r="M31" s="12" t="e">
        <f t="shared" si="3"/>
        <v>#NUM!</v>
      </c>
      <c r="Z31" s="6">
        <v>2027</v>
      </c>
      <c r="AA31" s="15">
        <f>$AB$31/AB31</f>
        <v>1</v>
      </c>
      <c r="AB31" s="107">
        <v>20.875506395365978</v>
      </c>
    </row>
    <row r="32" spans="1:33" ht="16.5" thickBot="1">
      <c r="K32" s="2">
        <v>2000</v>
      </c>
      <c r="L32" s="12">
        <f t="shared" ca="1" si="2"/>
        <v>0</v>
      </c>
      <c r="M32" s="12" t="e">
        <f t="shared" si="3"/>
        <v>#NUM!</v>
      </c>
      <c r="T32" s="3" t="s">
        <v>16</v>
      </c>
      <c r="U32" s="16">
        <f>C20+D20/12</f>
        <v>0</v>
      </c>
      <c r="Z32" s="6">
        <v>2028</v>
      </c>
      <c r="AA32" s="15">
        <f>AA31</f>
        <v>1</v>
      </c>
      <c r="AB32" s="108"/>
    </row>
    <row r="33" spans="2:28">
      <c r="K33" s="2">
        <v>2001</v>
      </c>
      <c r="L33" s="12">
        <f t="shared" ca="1" si="2"/>
        <v>0</v>
      </c>
      <c r="M33" s="12" t="e">
        <f t="shared" si="3"/>
        <v>#NUM!</v>
      </c>
      <c r="T33" s="3" t="s">
        <v>14</v>
      </c>
      <c r="U33" s="17" t="e">
        <f ca="1">IF(U36&gt;=S41,IF(U36-U32+65&lt;15,0,MAX(0,INT(U32-65))),IF(U36-U32+R41&lt;15,0,MAX(0,INT(U32-R41))))</f>
        <v>#NUM!</v>
      </c>
      <c r="Z33" s="6">
        <v>2029</v>
      </c>
      <c r="AA33" s="15">
        <f t="shared" ref="AA33:AA35" si="4">AA32</f>
        <v>1</v>
      </c>
      <c r="AB33" s="108"/>
    </row>
    <row r="34" spans="2:28">
      <c r="K34" s="2">
        <v>2002</v>
      </c>
      <c r="L34" s="12">
        <f t="shared" ca="1" si="2"/>
        <v>0</v>
      </c>
      <c r="M34" s="12" t="e">
        <f t="shared" si="3"/>
        <v>#NUM!</v>
      </c>
      <c r="T34" s="3" t="s">
        <v>15</v>
      </c>
      <c r="U34" s="2" t="e">
        <f ca="1">IF(U36+MAX(0,R41-U32)&gt;=S41,MAX(0,ROUNDUP(4*(Q44-U32),0)),MAX(0,ROUNDUP(4*(R41-U32),0)))</f>
        <v>#NUM!</v>
      </c>
      <c r="Z34" s="6">
        <v>2030</v>
      </c>
      <c r="AA34" s="15">
        <f t="shared" si="4"/>
        <v>1</v>
      </c>
      <c r="AB34" s="108"/>
    </row>
    <row r="35" spans="2:28" ht="16.5" thickBot="1">
      <c r="H35" s="18"/>
      <c r="K35" s="2">
        <v>2003</v>
      </c>
      <c r="L35" s="12">
        <f t="shared" ca="1" si="2"/>
        <v>0</v>
      </c>
      <c r="M35" s="12" t="e">
        <f t="shared" si="3"/>
        <v>#NUM!</v>
      </c>
      <c r="Z35" s="6">
        <v>2031</v>
      </c>
      <c r="AA35" s="15">
        <f t="shared" si="4"/>
        <v>1</v>
      </c>
      <c r="AB35" s="108"/>
    </row>
    <row r="36" spans="2:28" ht="16.5" thickBot="1">
      <c r="K36" s="2">
        <v>2004</v>
      </c>
      <c r="L36" s="12">
        <f t="shared" ca="1" si="2"/>
        <v>0</v>
      </c>
      <c r="M36" s="12" t="e">
        <f t="shared" si="3"/>
        <v>#NUM!</v>
      </c>
      <c r="T36" s="3" t="s">
        <v>17</v>
      </c>
      <c r="U36" s="16" t="e">
        <f ca="1">S89+T89/12</f>
        <v>#NUM!</v>
      </c>
      <c r="Z36" s="6">
        <v>2032</v>
      </c>
      <c r="AA36" s="15">
        <f>$AB$31/AB36</f>
        <v>0.96920357484072373</v>
      </c>
      <c r="AB36" s="107">
        <v>21.538825214090448</v>
      </c>
    </row>
    <row r="37" spans="2:28">
      <c r="K37" s="2">
        <v>2005</v>
      </c>
      <c r="L37" s="12">
        <f t="shared" ca="1" si="2"/>
        <v>0</v>
      </c>
      <c r="M37" s="12" t="e">
        <f t="shared" si="3"/>
        <v>#NUM!</v>
      </c>
      <c r="T37" s="3" t="s">
        <v>18</v>
      </c>
      <c r="U37" s="2" t="e">
        <f ca="1">(U36-15)*12</f>
        <v>#NUM!</v>
      </c>
      <c r="Z37" s="6">
        <v>2033</v>
      </c>
      <c r="AA37" s="15">
        <f>AA36</f>
        <v>0.96920357484072373</v>
      </c>
      <c r="AB37" s="108"/>
    </row>
    <row r="38" spans="2:28">
      <c r="K38" s="2">
        <v>2006</v>
      </c>
      <c r="L38" s="12">
        <f t="shared" ca="1" si="2"/>
        <v>0</v>
      </c>
      <c r="M38" s="12" t="e">
        <f t="shared" si="3"/>
        <v>#NUM!</v>
      </c>
      <c r="Z38" s="6">
        <v>2034</v>
      </c>
      <c r="AA38" s="15">
        <f t="shared" ref="AA38:AA40" si="5">AA37</f>
        <v>0.96920357484072373</v>
      </c>
      <c r="AB38" s="108"/>
    </row>
    <row r="39" spans="2:28">
      <c r="K39" s="2">
        <v>2007</v>
      </c>
      <c r="L39" s="12">
        <f t="shared" ref="L39:L70" ca="1" si="6">IF(K39=YEAR($S$86),12*$E$14,IF(K39=YEAR($S$86)-1,12*$E$13,IF(K39&lt;YEAR($S$86)-1,L40/(1+$T$80),IF($C$16=$U$23,L38*(1+$T$80),CHOOSE($S$103,IF(K39&lt;$S$102,$S$96*12*(1+$T$80)^(K39-YEAR($S$86)),$S$99*12*(1+$T$80)^(K39-YEAR($S$86))),IF(K39&lt;$S$101,$S$96*12*(1+$T$80)^(K39-YEAR($S$86)),$S$99*12*(1+$T$80)^(K39-YEAR($S$86))),$S$99*12*(1+$T$80)^(K39-YEAR($S$86)),MAX($S$97,MIN(Base,$S$99))*12*(1+$T$80)^(K39-YEAR($S$86)))))))</f>
        <v>0</v>
      </c>
      <c r="M39" s="12" t="e">
        <f t="shared" si="3"/>
        <v>#NUM!</v>
      </c>
      <c r="Z39" s="6">
        <v>2035</v>
      </c>
      <c r="AA39" s="15">
        <f t="shared" si="5"/>
        <v>0.96920357484072373</v>
      </c>
      <c r="AB39" s="108"/>
    </row>
    <row r="40" spans="2:28">
      <c r="K40" s="2">
        <v>2008</v>
      </c>
      <c r="L40" s="12">
        <f t="shared" ca="1" si="6"/>
        <v>0</v>
      </c>
      <c r="M40" s="12" t="e">
        <f t="shared" si="3"/>
        <v>#NUM!</v>
      </c>
      <c r="P40" s="4" t="s">
        <v>6</v>
      </c>
      <c r="Q40" s="4" t="s">
        <v>8</v>
      </c>
      <c r="R40" s="4" t="s">
        <v>22</v>
      </c>
      <c r="S40" s="4" t="s">
        <v>23</v>
      </c>
      <c r="T40" s="4" t="s">
        <v>24</v>
      </c>
      <c r="U40" s="4" t="s">
        <v>21</v>
      </c>
      <c r="V40" s="4" t="s">
        <v>25</v>
      </c>
      <c r="W40" s="4" t="s">
        <v>21</v>
      </c>
      <c r="Z40" s="6">
        <v>2036</v>
      </c>
      <c r="AA40" s="15">
        <f t="shared" si="5"/>
        <v>0.96920357484072373</v>
      </c>
      <c r="AB40" s="108"/>
    </row>
    <row r="41" spans="2:28">
      <c r="K41" s="2">
        <v>2009</v>
      </c>
      <c r="L41" s="12">
        <f t="shared" ca="1" si="6"/>
        <v>0</v>
      </c>
      <c r="M41" s="12" t="e">
        <f t="shared" si="3"/>
        <v>#NUM!</v>
      </c>
      <c r="P41" s="7" t="e">
        <f>U30</f>
        <v>#NUM!</v>
      </c>
      <c r="Q41" s="7" t="e">
        <f>VLOOKUP($U$30,$U$5:$AB$19,2)</f>
        <v>#NUM!</v>
      </c>
      <c r="R41" s="7" t="e">
        <f>VLOOKUP($U$30,$U$5:$AB$19,3)</f>
        <v>#NUM!</v>
      </c>
      <c r="S41" s="7" t="e">
        <f>VLOOKUP($U$30,$U$5:$AB$19,4)</f>
        <v>#NUM!</v>
      </c>
      <c r="T41" s="7" t="e">
        <f>VLOOKUP($U$30,$U$5:$AB$19,5)</f>
        <v>#NUM!</v>
      </c>
      <c r="U41" s="10" t="e">
        <f>VLOOKUP($U$30,$U$5:$AB$19,6)</f>
        <v>#NUM!</v>
      </c>
      <c r="V41" s="7" t="e">
        <f>VLOOKUP($U$30,$U$5:$AB$19,7)</f>
        <v>#NUM!</v>
      </c>
      <c r="W41" s="10" t="e">
        <f>VLOOKUP($U$30,$U$5:$AB$19,8)</f>
        <v>#NUM!</v>
      </c>
      <c r="Z41" s="6">
        <v>2037</v>
      </c>
      <c r="AA41" s="15">
        <f>$AB$31/AB41</f>
        <v>0.94121447652961743</v>
      </c>
      <c r="AB41" s="107">
        <v>22.179329914619181</v>
      </c>
    </row>
    <row r="42" spans="2:28">
      <c r="K42" s="2">
        <v>2010</v>
      </c>
      <c r="L42" s="12">
        <f t="shared" ca="1" si="6"/>
        <v>0</v>
      </c>
      <c r="M42" s="12" t="e">
        <f t="shared" si="3"/>
        <v>#NUM!</v>
      </c>
      <c r="Z42" s="6">
        <v>2038</v>
      </c>
      <c r="AA42" s="15">
        <f>AA41</f>
        <v>0.94121447652961743</v>
      </c>
      <c r="AB42" s="108"/>
    </row>
    <row r="43" spans="2:28">
      <c r="K43" s="2">
        <v>2011</v>
      </c>
      <c r="L43" s="12">
        <f t="shared" ca="1" si="6"/>
        <v>0</v>
      </c>
      <c r="M43" s="12" t="e">
        <f t="shared" si="3"/>
        <v>#NUM!</v>
      </c>
      <c r="Z43" s="6">
        <v>2039</v>
      </c>
      <c r="AA43" s="15">
        <f t="shared" ref="AA43:AA45" si="7">AA42</f>
        <v>0.94121447652961743</v>
      </c>
      <c r="AB43" s="108"/>
    </row>
    <row r="44" spans="2:28">
      <c r="B44" s="40"/>
      <c r="C44" s="40"/>
      <c r="D44" s="40"/>
      <c r="E44" s="40"/>
      <c r="F44" s="40"/>
      <c r="G44" s="40"/>
      <c r="K44" s="2">
        <v>2012</v>
      </c>
      <c r="L44" s="12">
        <f t="shared" ca="1" si="6"/>
        <v>0</v>
      </c>
      <c r="M44" s="12" t="e">
        <f t="shared" si="3"/>
        <v>#NUM!</v>
      </c>
      <c r="P44" s="19" t="s">
        <v>26</v>
      </c>
      <c r="Q44" s="44" t="e">
        <f ca="1">IF(U36&gt;S41,65,U32+S41-U36)</f>
        <v>#NUM!</v>
      </c>
      <c r="S44" s="6"/>
      <c r="T44" s="19" t="s">
        <v>27</v>
      </c>
      <c r="V44" s="19" t="s">
        <v>7</v>
      </c>
      <c r="W44" s="4" t="s">
        <v>10</v>
      </c>
      <c r="Z44" s="6">
        <v>2040</v>
      </c>
      <c r="AA44" s="15">
        <f t="shared" si="7"/>
        <v>0.94121447652961743</v>
      </c>
      <c r="AB44" s="108"/>
    </row>
    <row r="45" spans="2:28">
      <c r="B45" s="41"/>
      <c r="C45" s="39"/>
      <c r="D45" s="39"/>
      <c r="E45" s="39"/>
      <c r="F45" s="39"/>
      <c r="G45" s="42"/>
      <c r="K45" s="2">
        <v>2013</v>
      </c>
      <c r="L45" s="12">
        <f t="shared" ca="1" si="6"/>
        <v>0</v>
      </c>
      <c r="M45" s="12" t="e">
        <f t="shared" si="3"/>
        <v>#NUM!</v>
      </c>
      <c r="P45" s="19" t="s">
        <v>5</v>
      </c>
      <c r="Q45" s="20">
        <v>33</v>
      </c>
      <c r="S45" s="21" t="s">
        <v>33</v>
      </c>
      <c r="T45" s="22">
        <v>1.8749999999999999E-2</v>
      </c>
      <c r="V45" s="23">
        <v>0</v>
      </c>
      <c r="W45" s="24">
        <v>0.02</v>
      </c>
      <c r="Z45" s="6">
        <v>2041</v>
      </c>
      <c r="AA45" s="15">
        <f t="shared" si="7"/>
        <v>0.94121447652961743</v>
      </c>
      <c r="AB45" s="108"/>
    </row>
    <row r="46" spans="2:28">
      <c r="B46" s="41"/>
      <c r="C46" s="39"/>
      <c r="D46" s="39"/>
      <c r="E46" s="39"/>
      <c r="F46" s="39"/>
      <c r="G46" s="42"/>
      <c r="K46" s="2">
        <v>2014</v>
      </c>
      <c r="L46" s="12">
        <f t="shared" ca="1" si="6"/>
        <v>0</v>
      </c>
      <c r="M46" s="12" t="e">
        <f t="shared" si="3"/>
        <v>#NUM!</v>
      </c>
      <c r="S46" s="21" t="s">
        <v>34</v>
      </c>
      <c r="T46" s="22">
        <v>1.6250000000000001E-2</v>
      </c>
      <c r="V46" s="23">
        <v>25</v>
      </c>
      <c r="W46" s="24">
        <v>2.75E-2</v>
      </c>
      <c r="Z46" s="6">
        <v>2042</v>
      </c>
      <c r="AA46" s="15">
        <f>$AB$31/AB46</f>
        <v>0.91573650342080237</v>
      </c>
      <c r="AB46" s="107">
        <v>22.796411759697204</v>
      </c>
    </row>
    <row r="47" spans="2:28">
      <c r="B47" s="41"/>
      <c r="C47" s="39"/>
      <c r="D47" s="39"/>
      <c r="E47" s="39"/>
      <c r="F47" s="39"/>
      <c r="G47" s="42"/>
      <c r="K47" s="2">
        <v>2015</v>
      </c>
      <c r="L47" s="12">
        <f t="shared" ca="1" si="6"/>
        <v>0</v>
      </c>
      <c r="M47" s="12" t="e">
        <f t="shared" si="3"/>
        <v>#NUM!</v>
      </c>
      <c r="V47" s="23" t="e">
        <f>MIN(37,S41)</f>
        <v>#NUM!</v>
      </c>
      <c r="W47" s="24">
        <v>0.04</v>
      </c>
      <c r="Z47" s="6">
        <v>2043</v>
      </c>
      <c r="AA47" s="15">
        <f>AA46</f>
        <v>0.91573650342080237</v>
      </c>
      <c r="AB47" s="108"/>
    </row>
    <row r="48" spans="2:28">
      <c r="B48" s="42"/>
      <c r="C48" s="42"/>
      <c r="D48" s="42"/>
      <c r="E48" s="42"/>
      <c r="F48" s="42"/>
      <c r="G48" s="42"/>
      <c r="H48" s="25"/>
      <c r="K48" s="2">
        <v>2016</v>
      </c>
      <c r="L48" s="12">
        <f t="shared" ca="1" si="6"/>
        <v>0</v>
      </c>
      <c r="M48" s="12" t="e">
        <f t="shared" si="3"/>
        <v>#NUM!</v>
      </c>
      <c r="Z48" s="6">
        <v>2044</v>
      </c>
      <c r="AA48" s="15">
        <f t="shared" ref="AA48:AA50" si="8">AA47</f>
        <v>0.91573650342080237</v>
      </c>
      <c r="AB48" s="108"/>
    </row>
    <row r="49" spans="3:28">
      <c r="K49" s="2">
        <v>2017</v>
      </c>
      <c r="L49" s="12">
        <f t="shared" ca="1" si="6"/>
        <v>0</v>
      </c>
      <c r="M49" s="12" t="e">
        <f t="shared" si="3"/>
        <v>#NUM!</v>
      </c>
      <c r="Z49" s="6">
        <v>2045</v>
      </c>
      <c r="AA49" s="15">
        <f t="shared" si="8"/>
        <v>0.91573650342080237</v>
      </c>
      <c r="AB49" s="108"/>
    </row>
    <row r="50" spans="3:28">
      <c r="K50" s="2">
        <v>2018</v>
      </c>
      <c r="L50" s="12">
        <f t="shared" ca="1" si="6"/>
        <v>0</v>
      </c>
      <c r="M50" s="12" t="e">
        <f t="shared" si="3"/>
        <v>#NUM!</v>
      </c>
      <c r="Z50" s="6">
        <v>2046</v>
      </c>
      <c r="AA50" s="15">
        <f t="shared" si="8"/>
        <v>0.91573650342080237</v>
      </c>
      <c r="AB50" s="108"/>
    </row>
    <row r="51" spans="3:28">
      <c r="K51" s="2">
        <v>2019</v>
      </c>
      <c r="L51" s="12">
        <f t="shared" ca="1" si="6"/>
        <v>0</v>
      </c>
      <c r="M51" s="12" t="e">
        <f t="shared" si="3"/>
        <v>#NUM!</v>
      </c>
      <c r="P51" s="140" t="s">
        <v>28</v>
      </c>
      <c r="Q51" s="141"/>
      <c r="R51" s="141"/>
      <c r="S51" s="141"/>
      <c r="T51" s="141"/>
      <c r="U51" s="141"/>
      <c r="V51" s="141"/>
      <c r="W51" s="142"/>
      <c r="Z51" s="6">
        <v>2047</v>
      </c>
      <c r="AA51" s="15">
        <f>$AB$31/AB51</f>
        <v>0.89250854271350732</v>
      </c>
      <c r="AB51" s="107">
        <v>23.389699253631633</v>
      </c>
    </row>
    <row r="52" spans="3:28">
      <c r="K52" s="2">
        <v>2020</v>
      </c>
      <c r="L52" s="12">
        <f t="shared" ca="1" si="6"/>
        <v>0</v>
      </c>
      <c r="M52" s="12" t="e">
        <f t="shared" si="3"/>
        <v>#NUM!</v>
      </c>
      <c r="Z52" s="6">
        <v>2048</v>
      </c>
      <c r="AA52" s="15">
        <f>AA51</f>
        <v>0.89250854271350732</v>
      </c>
      <c r="AB52" s="6"/>
    </row>
    <row r="53" spans="3:28">
      <c r="K53" s="2">
        <v>2021</v>
      </c>
      <c r="L53" s="12">
        <f t="shared" ca="1" si="6"/>
        <v>0</v>
      </c>
      <c r="M53" s="12" t="e">
        <f t="shared" si="3"/>
        <v>#NUM!</v>
      </c>
      <c r="S53" s="26" t="s">
        <v>12</v>
      </c>
      <c r="T53" s="27">
        <f>U32</f>
        <v>0</v>
      </c>
      <c r="Z53" s="6">
        <v>2049</v>
      </c>
      <c r="AA53" s="15">
        <f t="shared" ref="AA53:AA55" si="9">AA52</f>
        <v>0.89250854271350732</v>
      </c>
      <c r="AB53" s="6"/>
    </row>
    <row r="54" spans="3:28">
      <c r="K54" s="2">
        <v>2022</v>
      </c>
      <c r="L54" s="12">
        <f t="shared" ca="1" si="6"/>
        <v>0</v>
      </c>
      <c r="M54" s="12" t="e">
        <f t="shared" si="3"/>
        <v>#NUM!</v>
      </c>
      <c r="S54" s="19" t="s">
        <v>7</v>
      </c>
      <c r="T54" s="27" t="e">
        <f ca="1">U36</f>
        <v>#NUM!</v>
      </c>
      <c r="Z54" s="6">
        <v>2050</v>
      </c>
      <c r="AA54" s="15">
        <f t="shared" si="9"/>
        <v>0.89250854271350732</v>
      </c>
      <c r="AB54" s="6"/>
    </row>
    <row r="55" spans="3:28">
      <c r="K55" s="2">
        <v>2023</v>
      </c>
      <c r="L55" s="12">
        <f t="shared" ca="1" si="6"/>
        <v>0</v>
      </c>
      <c r="M55" s="12" t="e">
        <f t="shared" si="3"/>
        <v>#NUM!</v>
      </c>
      <c r="S55" s="26" t="s">
        <v>29</v>
      </c>
      <c r="T55" s="28" t="e">
        <f ca="1">0.5+MIN(T41,U37)*U41+MAX(0,MIN(U37,V41)-T41)*W41</f>
        <v>#NUM!</v>
      </c>
      <c r="Z55" s="6">
        <v>2051</v>
      </c>
      <c r="AA55" s="15">
        <f t="shared" si="9"/>
        <v>0.89250854271350732</v>
      </c>
      <c r="AB55" s="6"/>
    </row>
    <row r="56" spans="3:28">
      <c r="K56" s="2">
        <v>2024</v>
      </c>
      <c r="L56" s="12">
        <f t="shared" ca="1" si="6"/>
        <v>0</v>
      </c>
      <c r="M56" s="12" t="e">
        <f t="shared" si="3"/>
        <v>#NUM!</v>
      </c>
      <c r="S56" s="26" t="s">
        <v>11</v>
      </c>
      <c r="T56" s="28" t="e">
        <f ca="1">IF(U36&lt;38.5,T45*U34,T46*U34)</f>
        <v>#NUM!</v>
      </c>
    </row>
    <row r="57" spans="3:28">
      <c r="K57" s="2">
        <v>2025</v>
      </c>
      <c r="L57" s="12">
        <f t="shared" ca="1" si="6"/>
        <v>0</v>
      </c>
      <c r="M57" s="12" t="e">
        <f t="shared" si="3"/>
        <v>#NUM!</v>
      </c>
      <c r="S57" s="26" t="s">
        <v>10</v>
      </c>
      <c r="T57" s="28" t="e">
        <f ca="1">U33*VLOOKUP(U36-MAX(0,U32-R41),V45:W47,2)</f>
        <v>#NUM!</v>
      </c>
    </row>
    <row r="58" spans="3:28">
      <c r="C58" s="18"/>
      <c r="K58" s="2">
        <v>2026</v>
      </c>
      <c r="L58" s="12">
        <f t="shared" ca="1" si="6"/>
        <v>0</v>
      </c>
      <c r="M58" s="12" t="e">
        <f t="shared" si="3"/>
        <v>#NUM!</v>
      </c>
      <c r="S58" s="29" t="s">
        <v>32</v>
      </c>
      <c r="T58" s="28" t="e">
        <f>VLOOKUP(MAX(U30,2027),Z31:AA52,2)</f>
        <v>#NUM!</v>
      </c>
    </row>
    <row r="59" spans="3:28">
      <c r="K59" s="2">
        <v>2027</v>
      </c>
      <c r="L59" s="12">
        <f t="shared" ca="1" si="6"/>
        <v>0</v>
      </c>
      <c r="M59" s="12" t="e">
        <f t="shared" si="3"/>
        <v>#NUM!</v>
      </c>
      <c r="S59" s="26" t="s">
        <v>59</v>
      </c>
      <c r="T59" s="28" t="e">
        <f ca="1">IF(AND(T53&lt;R41,T54&lt;Q45),0,T55*(1-T56)+T57)*T58</f>
        <v>#NUM!</v>
      </c>
    </row>
    <row r="60" spans="3:28">
      <c r="K60" s="2">
        <v>2028</v>
      </c>
      <c r="L60" s="12">
        <f t="shared" ca="1" si="6"/>
        <v>0</v>
      </c>
      <c r="M60" s="12" t="e">
        <f t="shared" si="3"/>
        <v>#NUM!</v>
      </c>
    </row>
    <row r="61" spans="3:28">
      <c r="K61" s="2">
        <v>2029</v>
      </c>
      <c r="L61" s="12">
        <f t="shared" ca="1" si="6"/>
        <v>0</v>
      </c>
      <c r="M61" s="12" t="e">
        <f t="shared" si="3"/>
        <v>#NUM!</v>
      </c>
    </row>
    <row r="62" spans="3:28">
      <c r="K62" s="2">
        <v>2030</v>
      </c>
      <c r="L62" s="12">
        <f t="shared" ca="1" si="6"/>
        <v>0</v>
      </c>
      <c r="M62" s="12" t="e">
        <f t="shared" si="3"/>
        <v>#NUM!</v>
      </c>
    </row>
    <row r="63" spans="3:28">
      <c r="K63" s="2">
        <v>2031</v>
      </c>
      <c r="L63" s="12">
        <f t="shared" ca="1" si="6"/>
        <v>0</v>
      </c>
      <c r="M63" s="12" t="e">
        <f t="shared" si="3"/>
        <v>#NUM!</v>
      </c>
      <c r="P63" s="140" t="s">
        <v>62</v>
      </c>
      <c r="Q63" s="141"/>
      <c r="R63" s="141"/>
      <c r="S63" s="141"/>
      <c r="T63" s="141"/>
      <c r="U63" s="141"/>
      <c r="V63" s="141"/>
      <c r="W63" s="142"/>
    </row>
    <row r="64" spans="3:28">
      <c r="K64" s="2">
        <v>2032</v>
      </c>
      <c r="L64" s="12">
        <f t="shared" ca="1" si="6"/>
        <v>0</v>
      </c>
      <c r="M64" s="12" t="e">
        <f t="shared" si="3"/>
        <v>#NUM!</v>
      </c>
    </row>
    <row r="65" spans="11:23">
      <c r="K65" s="2">
        <v>2033</v>
      </c>
      <c r="L65" s="12">
        <f t="shared" ca="1" si="6"/>
        <v>0</v>
      </c>
      <c r="M65" s="12" t="e">
        <f t="shared" si="3"/>
        <v>#NUM!</v>
      </c>
      <c r="S65" s="3" t="s">
        <v>63</v>
      </c>
      <c r="T65" s="30">
        <f ca="1">(15-(C12+D12/12))*365.25+S86</f>
        <v>46781.75</v>
      </c>
    </row>
    <row r="66" spans="11:23">
      <c r="K66" s="2">
        <v>2034</v>
      </c>
      <c r="L66" s="12">
        <f t="shared" ca="1" si="6"/>
        <v>0</v>
      </c>
      <c r="M66" s="12" t="e">
        <f t="shared" si="3"/>
        <v>#NUM!</v>
      </c>
      <c r="S66" s="54" t="s">
        <v>84</v>
      </c>
      <c r="T66" s="30">
        <f ca="1">(IFERROR(S41,38.5)-(C12+D12/12))*365.25+S86</f>
        <v>55365.125</v>
      </c>
    </row>
    <row r="67" spans="11:23">
      <c r="K67" s="2">
        <v>2035</v>
      </c>
      <c r="L67" s="12">
        <f t="shared" ca="1" si="6"/>
        <v>0</v>
      </c>
      <c r="M67" s="12" t="e">
        <f t="shared" si="3"/>
        <v>#NUM!</v>
      </c>
      <c r="S67" s="3" t="s">
        <v>64</v>
      </c>
      <c r="T67" s="17" t="e">
        <f ca="1">(T65-DATE(E6,D6,C6))/365.25</f>
        <v>#NUM!</v>
      </c>
    </row>
    <row r="68" spans="11:23">
      <c r="K68" s="2">
        <v>2036</v>
      </c>
      <c r="L68" s="12">
        <f t="shared" ca="1" si="6"/>
        <v>0</v>
      </c>
      <c r="M68" s="12" t="e">
        <f t="shared" si="3"/>
        <v>#NUM!</v>
      </c>
      <c r="S68" s="54" t="s">
        <v>85</v>
      </c>
      <c r="T68" s="17" t="e">
        <f ca="1">(T66-DATE(E6,D6,C6))/365.25</f>
        <v>#NUM!</v>
      </c>
    </row>
    <row r="69" spans="11:23">
      <c r="K69" s="2">
        <v>2037</v>
      </c>
      <c r="L69" s="12">
        <f t="shared" ca="1" si="6"/>
        <v>0</v>
      </c>
      <c r="M69" s="12" t="e">
        <f t="shared" si="3"/>
        <v>#NUM!</v>
      </c>
      <c r="S69" s="54" t="s">
        <v>22</v>
      </c>
      <c r="T69" s="86" t="e">
        <f ca="1">MAX(67,T67)</f>
        <v>#NUM!</v>
      </c>
    </row>
    <row r="70" spans="11:23">
      <c r="K70" s="2">
        <v>2038</v>
      </c>
      <c r="L70" s="12">
        <f t="shared" ca="1" si="6"/>
        <v>0</v>
      </c>
      <c r="M70" s="12" t="e">
        <f t="shared" si="3"/>
        <v>#NUM!</v>
      </c>
      <c r="S70" s="3" t="s">
        <v>65</v>
      </c>
      <c r="T70" s="17" t="e">
        <f ca="1">MIN(MAX(T68,65),T69)</f>
        <v>#NUM!</v>
      </c>
    </row>
    <row r="71" spans="11:23">
      <c r="K71" s="2">
        <v>2039</v>
      </c>
      <c r="L71" s="12">
        <f t="shared" ref="L71:L92" ca="1" si="10">IF(K71=YEAR($S$86),12*$E$14,IF(K71=YEAR($S$86)-1,12*$E$13,IF(K71&lt;YEAR($S$86)-1,L72/(1+$T$80),IF($C$16=$U$23,L70*(1+$T$80),CHOOSE($S$103,IF(K71&lt;$S$102,$S$96*12*(1+$T$80)^(K71-YEAR($S$86)),$S$99*12*(1+$T$80)^(K71-YEAR($S$86))),IF(K71&lt;$S$101,$S$96*12*(1+$T$80)^(K71-YEAR($S$86)),$S$99*12*(1+$T$80)^(K71-YEAR($S$86))),$S$99*12*(1+$T$80)^(K71-YEAR($S$86)),MAX($S$97,MIN(Base,$S$99))*12*(1+$T$80)^(K71-YEAR($S$86)))))))</f>
        <v>0</v>
      </c>
      <c r="M71" s="12" t="e">
        <f t="shared" ref="M71:M92" si="11">IF(K71&gt;=YEAR($S$87),0,IF(K71&gt;=YEAR($S$87)-$M$4,L71*(1+$T$80)^(MAX(YEAR($S$87)-K71-3,0)),0))</f>
        <v>#NUM!</v>
      </c>
      <c r="S71" s="3"/>
      <c r="T71" s="43"/>
    </row>
    <row r="72" spans="11:23">
      <c r="K72" s="2">
        <v>2040</v>
      </c>
      <c r="L72" s="12">
        <f t="shared" ca="1" si="10"/>
        <v>0</v>
      </c>
      <c r="M72" s="12" t="e">
        <f t="shared" si="11"/>
        <v>#NUM!</v>
      </c>
      <c r="S72" s="3"/>
      <c r="T72" s="2" t="e">
        <f ca="1">ROUNDUP(T70*12,0)</f>
        <v>#NUM!</v>
      </c>
    </row>
    <row r="73" spans="11:23">
      <c r="K73" s="2">
        <v>2041</v>
      </c>
      <c r="L73" s="12">
        <f t="shared" ca="1" si="10"/>
        <v>0</v>
      </c>
      <c r="M73" s="12" t="e">
        <f t="shared" si="11"/>
        <v>#NUM!</v>
      </c>
      <c r="S73" s="3" t="s">
        <v>60</v>
      </c>
      <c r="T73" s="2" t="e">
        <f ca="1">INT(T72/12)</f>
        <v>#NUM!</v>
      </c>
    </row>
    <row r="74" spans="11:23">
      <c r="K74" s="2">
        <v>2042</v>
      </c>
      <c r="L74" s="12">
        <f t="shared" ca="1" si="10"/>
        <v>0</v>
      </c>
      <c r="M74" s="12" t="e">
        <f t="shared" si="11"/>
        <v>#NUM!</v>
      </c>
      <c r="S74" s="3" t="s">
        <v>61</v>
      </c>
      <c r="T74" s="2" t="e">
        <f ca="1">MIN(11,T72-T73*12)</f>
        <v>#NUM!</v>
      </c>
    </row>
    <row r="75" spans="11:23">
      <c r="K75" s="2">
        <v>2043</v>
      </c>
      <c r="L75" s="12">
        <f t="shared" ca="1" si="10"/>
        <v>0</v>
      </c>
      <c r="M75" s="12" t="e">
        <f t="shared" si="11"/>
        <v>#NUM!</v>
      </c>
    </row>
    <row r="76" spans="11:23">
      <c r="K76" s="2">
        <v>2044</v>
      </c>
      <c r="L76" s="12">
        <f t="shared" ca="1" si="10"/>
        <v>0</v>
      </c>
      <c r="M76" s="12" t="e">
        <f t="shared" si="11"/>
        <v>#NUM!</v>
      </c>
    </row>
    <row r="77" spans="11:23">
      <c r="K77" s="2">
        <v>2045</v>
      </c>
      <c r="L77" s="12">
        <f t="shared" ca="1" si="10"/>
        <v>0</v>
      </c>
      <c r="M77" s="12" t="e">
        <f t="shared" si="11"/>
        <v>#NUM!</v>
      </c>
      <c r="P77" s="140" t="s">
        <v>39</v>
      </c>
      <c r="Q77" s="141"/>
      <c r="R77" s="141"/>
      <c r="S77" s="141"/>
      <c r="T77" s="141"/>
      <c r="U77" s="141"/>
      <c r="V77" s="141"/>
      <c r="W77" s="142"/>
    </row>
    <row r="78" spans="11:23">
      <c r="K78" s="2">
        <v>2046</v>
      </c>
      <c r="L78" s="12">
        <f t="shared" ca="1" si="10"/>
        <v>0</v>
      </c>
      <c r="M78" s="12" t="e">
        <f t="shared" si="11"/>
        <v>#NUM!</v>
      </c>
      <c r="Q78" s="31"/>
      <c r="R78" s="31"/>
    </row>
    <row r="79" spans="11:23">
      <c r="K79" s="2">
        <v>2047</v>
      </c>
      <c r="L79" s="12">
        <f t="shared" ca="1" si="10"/>
        <v>0</v>
      </c>
      <c r="M79" s="12" t="e">
        <f t="shared" si="11"/>
        <v>#NUM!</v>
      </c>
      <c r="S79" s="3" t="s">
        <v>66</v>
      </c>
      <c r="T79" s="32">
        <v>2.5000000000000001E-2</v>
      </c>
    </row>
    <row r="80" spans="11:23">
      <c r="K80" s="2">
        <v>2048</v>
      </c>
      <c r="L80" s="12">
        <f t="shared" ca="1" si="10"/>
        <v>0</v>
      </c>
      <c r="M80" s="12" t="e">
        <f t="shared" si="11"/>
        <v>#NUM!</v>
      </c>
      <c r="S80" s="33" t="s">
        <v>0</v>
      </c>
      <c r="T80" s="32">
        <v>0.02</v>
      </c>
    </row>
    <row r="81" spans="4:29">
      <c r="K81" s="2">
        <v>2049</v>
      </c>
      <c r="L81" s="12">
        <f t="shared" ca="1" si="10"/>
        <v>0</v>
      </c>
      <c r="M81" s="12" t="e">
        <f t="shared" si="11"/>
        <v>#NUM!</v>
      </c>
      <c r="S81" s="88" t="s">
        <v>102</v>
      </c>
      <c r="T81" s="32">
        <v>1</v>
      </c>
    </row>
    <row r="82" spans="4:29">
      <c r="K82" s="2">
        <v>2050</v>
      </c>
      <c r="L82" s="12">
        <f t="shared" ca="1" si="10"/>
        <v>0</v>
      </c>
      <c r="M82" s="12" t="e">
        <f t="shared" si="11"/>
        <v>#NUM!</v>
      </c>
    </row>
    <row r="83" spans="4:29">
      <c r="K83" s="2">
        <v>2051</v>
      </c>
      <c r="L83" s="12">
        <f t="shared" ca="1" si="10"/>
        <v>0</v>
      </c>
      <c r="M83" s="12" t="e">
        <f t="shared" si="11"/>
        <v>#NUM!</v>
      </c>
    </row>
    <row r="84" spans="4:29">
      <c r="K84" s="2">
        <v>2052</v>
      </c>
      <c r="L84" s="12">
        <f t="shared" ca="1" si="10"/>
        <v>0</v>
      </c>
      <c r="M84" s="12" t="e">
        <f t="shared" si="11"/>
        <v>#NUM!</v>
      </c>
      <c r="P84" s="140" t="s">
        <v>43</v>
      </c>
      <c r="Q84" s="141"/>
      <c r="R84" s="141"/>
      <c r="S84" s="141"/>
      <c r="T84" s="141"/>
      <c r="U84" s="141"/>
      <c r="V84" s="141"/>
      <c r="W84" s="142"/>
    </row>
    <row r="85" spans="4:29">
      <c r="D85" s="43"/>
      <c r="K85" s="2">
        <v>2053</v>
      </c>
      <c r="L85" s="12">
        <f t="shared" ca="1" si="10"/>
        <v>0</v>
      </c>
      <c r="M85" s="12" t="e">
        <f t="shared" si="11"/>
        <v>#NUM!</v>
      </c>
    </row>
    <row r="86" spans="4:29">
      <c r="K86" s="2">
        <v>2054</v>
      </c>
      <c r="L86" s="12">
        <f t="shared" ca="1" si="10"/>
        <v>0</v>
      </c>
      <c r="M86" s="12" t="e">
        <f t="shared" si="11"/>
        <v>#NUM!</v>
      </c>
      <c r="R86" s="3" t="s">
        <v>40</v>
      </c>
      <c r="S86" s="34">
        <f ca="1">TODAY()</f>
        <v>41303</v>
      </c>
      <c r="X86" s="49" t="s">
        <v>113</v>
      </c>
    </row>
    <row r="87" spans="4:29">
      <c r="K87" s="2">
        <v>2055</v>
      </c>
      <c r="L87" s="12">
        <f t="shared" ca="1" si="10"/>
        <v>0</v>
      </c>
      <c r="M87" s="12" t="e">
        <f t="shared" si="11"/>
        <v>#NUM!</v>
      </c>
      <c r="R87" s="3" t="s">
        <v>42</v>
      </c>
      <c r="S87" s="34" t="e">
        <f>DATE(E6+C20+INT((D6+D20)/12),MOD(D6+D20,12),C6)</f>
        <v>#NUM!</v>
      </c>
      <c r="X87" s="54" t="s">
        <v>114</v>
      </c>
      <c r="Y87" s="51">
        <v>2013</v>
      </c>
      <c r="Z87" s="52" t="s">
        <v>82</v>
      </c>
    </row>
    <row r="88" spans="4:29">
      <c r="H88" s="35"/>
      <c r="K88" s="2">
        <v>2056</v>
      </c>
      <c r="L88" s="12">
        <f t="shared" ca="1" si="10"/>
        <v>0</v>
      </c>
      <c r="M88" s="12" t="e">
        <f t="shared" si="11"/>
        <v>#NUM!</v>
      </c>
      <c r="R88" s="3"/>
      <c r="S88" s="35" t="s">
        <v>38</v>
      </c>
      <c r="T88" s="35" t="s">
        <v>9</v>
      </c>
      <c r="X88" s="54" t="s">
        <v>115</v>
      </c>
      <c r="Y88" s="51">
        <v>47</v>
      </c>
      <c r="Z88" s="52" t="s">
        <v>82</v>
      </c>
    </row>
    <row r="89" spans="4:29">
      <c r="H89" s="35"/>
      <c r="K89" s="2">
        <v>2057</v>
      </c>
      <c r="L89" s="12">
        <f t="shared" ca="1" si="10"/>
        <v>0</v>
      </c>
      <c r="M89" s="12" t="e">
        <f t="shared" si="11"/>
        <v>#NUM!</v>
      </c>
      <c r="R89" s="3" t="s">
        <v>1</v>
      </c>
      <c r="S89" s="36" t="e">
        <f ca="1">C12+INT(YEARFRAC(S86,S87,1)+D12/12)</f>
        <v>#NUM!</v>
      </c>
      <c r="T89" s="36" t="e">
        <f ca="1">INT(MOD((C12*12+D12+12*YEARFRAC(S86,S87,1)),12))</f>
        <v>#NUM!</v>
      </c>
      <c r="X89" s="54" t="s">
        <v>130</v>
      </c>
      <c r="Y89" s="51">
        <v>1870.5</v>
      </c>
      <c r="Z89" s="52" t="s">
        <v>82</v>
      </c>
    </row>
    <row r="90" spans="4:29">
      <c r="K90" s="2">
        <v>2058</v>
      </c>
      <c r="L90" s="12">
        <f t="shared" ca="1" si="10"/>
        <v>0</v>
      </c>
      <c r="M90" s="12" t="e">
        <f t="shared" si="11"/>
        <v>#NUM!</v>
      </c>
      <c r="R90" s="3" t="s">
        <v>2</v>
      </c>
      <c r="S90" s="37" t="e">
        <f ca="1">FV(T80,YEAR(S87)-YEAR(S86),0,-C8)</f>
        <v>#NUM!</v>
      </c>
      <c r="X90" s="54" t="s">
        <v>116</v>
      </c>
      <c r="Y90" s="35">
        <f>Y87-Año-1</f>
        <v>2012</v>
      </c>
    </row>
    <row r="91" spans="4:29">
      <c r="K91" s="2">
        <v>2059</v>
      </c>
      <c r="L91" s="12">
        <f t="shared" ca="1" si="10"/>
        <v>0</v>
      </c>
      <c r="M91" s="12" t="e">
        <f t="shared" si="11"/>
        <v>#NUM!</v>
      </c>
      <c r="R91" s="3" t="s">
        <v>46</v>
      </c>
      <c r="S91" s="37" t="e">
        <f ca="1">FV(T80,YEAR(S87)-YEAR(S86),0,-T91*14)</f>
        <v>#NUM!</v>
      </c>
      <c r="T91" s="51">
        <v>598.79999999999995</v>
      </c>
      <c r="U91" s="52" t="s">
        <v>82</v>
      </c>
      <c r="X91" s="54" t="s">
        <v>117</v>
      </c>
      <c r="Y91" s="90">
        <f ca="1">Años_cotizados+Meses_cotizados/12-MAX(S100+MONTH(S86)/12-50,0)</f>
        <v>-1962.0833333333333</v>
      </c>
      <c r="AB91" s="35"/>
      <c r="AC91" s="35"/>
    </row>
    <row r="92" spans="4:29">
      <c r="K92" s="2">
        <v>2060</v>
      </c>
      <c r="L92" s="12">
        <f t="shared" ca="1" si="10"/>
        <v>0</v>
      </c>
      <c r="M92" s="12" t="e">
        <f t="shared" si="11"/>
        <v>#NUM!</v>
      </c>
      <c r="R92" s="3" t="s">
        <v>47</v>
      </c>
      <c r="S92" s="37" t="e">
        <f ca="1">FV(T80,YEAR(S87)-YEAR(S86),0,-T92*14)*(1-U34*0.0025)*T58</f>
        <v>#NUM!</v>
      </c>
      <c r="T92" s="51">
        <v>2548.12</v>
      </c>
      <c r="U92" s="52" t="s">
        <v>82</v>
      </c>
      <c r="X92" s="54" t="s">
        <v>118</v>
      </c>
      <c r="Y92" s="90">
        <f>E13</f>
        <v>0</v>
      </c>
    </row>
    <row r="93" spans="4:29">
      <c r="R93" s="3" t="s">
        <v>44</v>
      </c>
      <c r="S93" s="38" t="e">
        <f ca="1">ROUND(MAX(0,C8*T81-H5),2)</f>
        <v>#VALUE!</v>
      </c>
      <c r="T93" s="38" t="e">
        <f ca="1">INT(YEARFRAC(S86,S87,1))+1</f>
        <v>#NUM!</v>
      </c>
      <c r="U93" s="49" t="s">
        <v>79</v>
      </c>
      <c r="X93" s="54" t="s">
        <v>129</v>
      </c>
      <c r="Y93" s="35">
        <f ca="1">IF(Y90&lt;Y88,1,IF(AND(Y90=Y88,Y92&gt;=Y89)=TRUE,2,IF(AND(Y90=Y88,Y92&lt;Y89)=TRUE,4,IF(AND(Y90&gt;Y88,Y91&lt;5)=TRUE,5,IF(AND(Y90&gt;Y88,Y91&gt;=5,Y92&lt;=Y89)=TRUE,6,IF(AND(Y90&gt;Y88,Y91&gt;=5,Y92&gt;Y89)=TRUE,7,3))))))</f>
        <v>5</v>
      </c>
      <c r="AA93" s="35">
        <f ca="1">VLOOKUP($Y$93,$Z$95:$AB$101,2)</f>
        <v>925.8</v>
      </c>
      <c r="AB93" s="35">
        <f ca="1">VLOOKUP($Y$93,$Z$95:$AB$101,3)</f>
        <v>1880.8</v>
      </c>
    </row>
    <row r="94" spans="4:29">
      <c r="R94" s="3" t="s">
        <v>45</v>
      </c>
      <c r="S94" s="38" t="e">
        <f ca="1">ROUND(S93*(1+T80)^(YEAR(S87)-YEAR(S86))*(1+VLOOKUP(C20+IF(D20&gt;=6,1,0),P5:R24,IF(C4=TRUE,2,3))),2)</f>
        <v>#VALUE!</v>
      </c>
      <c r="T94" s="35" t="e">
        <f ca="1">S87-DATE(YEAR(S87),MONTH(S86),DAY(S86))</f>
        <v>#NUM!</v>
      </c>
      <c r="U94" s="49" t="s">
        <v>80</v>
      </c>
      <c r="Y94" s="49" t="s">
        <v>121</v>
      </c>
      <c r="Z94" s="114" t="s">
        <v>98</v>
      </c>
      <c r="AA94" s="114" t="s">
        <v>119</v>
      </c>
      <c r="AB94" s="114" t="s">
        <v>120</v>
      </c>
    </row>
    <row r="95" spans="4:29">
      <c r="R95" s="3" t="s">
        <v>48</v>
      </c>
      <c r="S95" s="50" t="e">
        <f ca="1">ROUND(PMT(T79,T93,,-S94*(1+T79)^((IF(T94&lt;=0,-365,0)-T94)/365)),2)</f>
        <v>#NUM!</v>
      </c>
      <c r="T95" s="56" t="e">
        <f ca="1">S94*(1+T79)^((IF(T94&lt;=0,-365,0)-T94)/365)*(T79-T80)/((1+T79)^(T93)-(1+T80)^T93)</f>
        <v>#VALUE!</v>
      </c>
      <c r="U95" s="57" t="s">
        <v>94</v>
      </c>
      <c r="Y95" s="54" t="s">
        <v>122</v>
      </c>
      <c r="Z95" s="35">
        <v>1</v>
      </c>
      <c r="AA95" s="113">
        <v>858.6</v>
      </c>
      <c r="AB95" s="113">
        <v>3425.7</v>
      </c>
    </row>
    <row r="96" spans="4:29">
      <c r="R96" s="54" t="s">
        <v>91</v>
      </c>
      <c r="S96" s="113">
        <f>AA95</f>
        <v>858.6</v>
      </c>
      <c r="T96" s="52"/>
      <c r="U96" s="52"/>
      <c r="Y96" s="54" t="s">
        <v>123</v>
      </c>
      <c r="Z96" s="35">
        <v>2</v>
      </c>
      <c r="AA96" s="113">
        <v>858.6</v>
      </c>
      <c r="AB96" s="113">
        <v>3425.7</v>
      </c>
    </row>
    <row r="97" spans="10:56">
      <c r="R97" s="54" t="s">
        <v>90</v>
      </c>
      <c r="S97" s="35">
        <f>ROUND(S96*2.2,2)</f>
        <v>1888.92</v>
      </c>
      <c r="Y97" s="54" t="s">
        <v>124</v>
      </c>
      <c r="Z97" s="35">
        <v>3</v>
      </c>
      <c r="AA97" s="113">
        <v>858.6</v>
      </c>
      <c r="AB97" s="113">
        <v>3425.7</v>
      </c>
    </row>
    <row r="98" spans="10:56">
      <c r="R98" s="54" t="s">
        <v>89</v>
      </c>
      <c r="S98" s="89">
        <f>AB95</f>
        <v>3425.7</v>
      </c>
      <c r="T98" s="52"/>
      <c r="Y98" s="54" t="s">
        <v>125</v>
      </c>
      <c r="Z98" s="35">
        <v>4</v>
      </c>
      <c r="AA98" s="113">
        <v>858.6</v>
      </c>
      <c r="AB98" s="113">
        <v>1880.8</v>
      </c>
    </row>
    <row r="99" spans="10:56">
      <c r="R99" s="54" t="s">
        <v>89</v>
      </c>
      <c r="S99" s="90" t="e">
        <f ca="1">MIN(ROUND((T92*14*(1+T80)^(YEAR(S87)-YEAR(S86))/T55*M4-MAX(0,YEAR(S86)-YEAR(S87)+M4)*12*E13*(1+T80)^(YEAR(S87)-YEAR(S86)-2)-IF(S101&gt;YEAR(S86),0,12*Base*(1+T80)^(YEAR(S87)-YEAR(S86)-3)))/(1+T80+(1+T80)^2+MIN(M4-2,YEAR(S87)-3-YEAR(S86)))/(1+T80)^(YEAR(S87)-3-YEAR(S86))/12,2),S98)</f>
        <v>#NUM!</v>
      </c>
      <c r="Y99" s="54" t="s">
        <v>126</v>
      </c>
      <c r="Z99" s="35">
        <v>5</v>
      </c>
      <c r="AA99" s="113">
        <v>925.8</v>
      </c>
      <c r="AB99" s="113">
        <v>1880.8</v>
      </c>
    </row>
    <row r="100" spans="10:56">
      <c r="R100" s="54" t="s">
        <v>96</v>
      </c>
      <c r="S100" s="91">
        <f ca="1">YEAR(S86)-Año-1</f>
        <v>2012</v>
      </c>
      <c r="Y100" s="54" t="s">
        <v>127</v>
      </c>
      <c r="Z100" s="35">
        <v>6</v>
      </c>
      <c r="AA100" s="113">
        <v>858.6</v>
      </c>
      <c r="AB100" s="113">
        <v>1880.8</v>
      </c>
    </row>
    <row r="101" spans="10:56">
      <c r="R101" s="54" t="s">
        <v>92</v>
      </c>
      <c r="S101" s="91" t="e">
        <f>YEAR(S87)-M4</f>
        <v>#NUM!</v>
      </c>
      <c r="Y101" s="54" t="s">
        <v>128</v>
      </c>
      <c r="Z101" s="35">
        <v>7</v>
      </c>
      <c r="AA101" s="113">
        <v>858.6</v>
      </c>
      <c r="AB101" s="113">
        <f>Y92*1.01</f>
        <v>0</v>
      </c>
    </row>
    <row r="102" spans="10:56">
      <c r="R102" s="54" t="s">
        <v>97</v>
      </c>
      <c r="S102" s="91">
        <f>Año+Y88-1</f>
        <v>46</v>
      </c>
      <c r="T102" s="53"/>
    </row>
    <row r="103" spans="10:56">
      <c r="R103" s="54" t="s">
        <v>98</v>
      </c>
      <c r="S103" s="35" t="e">
        <f ca="1">IF(AND(YEAR(S86)&lt;S102,S102&lt;=S101)=TRUE,1,IF(AND(YEAR(S86)&lt;S101,S101&lt;=S102)=TRUE,2,IF(AND(S101&lt;=YEAR(S86),YEAR(S86)&lt;S102)=TRUE,3,4)))</f>
        <v>#NUM!</v>
      </c>
      <c r="T103" s="49" t="s">
        <v>99</v>
      </c>
    </row>
    <row r="105" spans="10:56">
      <c r="L105" s="12"/>
      <c r="Q105" s="47" t="s">
        <v>103</v>
      </c>
      <c r="X105" s="53" t="s">
        <v>83</v>
      </c>
    </row>
    <row r="106" spans="10:56">
      <c r="J106" s="48"/>
      <c r="K106" s="12"/>
      <c r="L106" s="12"/>
      <c r="O106" s="4" t="s">
        <v>49</v>
      </c>
      <c r="P106" s="4" t="s">
        <v>52</v>
      </c>
      <c r="Q106" s="4">
        <v>2012</v>
      </c>
      <c r="R106" s="4">
        <v>2013</v>
      </c>
      <c r="S106" s="4">
        <v>2014</v>
      </c>
      <c r="T106" s="4">
        <v>2015</v>
      </c>
      <c r="U106" s="4">
        <v>2016</v>
      </c>
      <c r="V106" s="4">
        <v>2017</v>
      </c>
      <c r="W106" s="4">
        <v>2018</v>
      </c>
      <c r="X106" s="4">
        <v>2019</v>
      </c>
      <c r="Y106" s="4">
        <v>2020</v>
      </c>
      <c r="Z106" s="4">
        <v>2021</v>
      </c>
      <c r="AA106" s="4">
        <v>2022</v>
      </c>
      <c r="AB106" s="4">
        <v>2023</v>
      </c>
      <c r="AC106" s="4">
        <v>2024</v>
      </c>
      <c r="AD106" s="4">
        <v>2025</v>
      </c>
      <c r="AE106" s="4">
        <v>2026</v>
      </c>
      <c r="AF106" s="4">
        <v>2027</v>
      </c>
      <c r="AG106" s="4">
        <v>2028</v>
      </c>
      <c r="AH106" s="4">
        <v>2029</v>
      </c>
      <c r="AI106" s="4">
        <v>2030</v>
      </c>
      <c r="AJ106" s="4">
        <v>2031</v>
      </c>
      <c r="AK106" s="4">
        <v>2032</v>
      </c>
      <c r="AL106" s="4">
        <v>2033</v>
      </c>
      <c r="AM106" s="4">
        <v>2034</v>
      </c>
      <c r="AN106" s="4">
        <v>2035</v>
      </c>
      <c r="AO106" s="4">
        <v>2036</v>
      </c>
      <c r="AP106" s="4">
        <v>2037</v>
      </c>
      <c r="AQ106" s="4">
        <v>2038</v>
      </c>
      <c r="AR106" s="4">
        <v>2039</v>
      </c>
      <c r="AS106" s="4">
        <v>2040</v>
      </c>
      <c r="AT106" s="4">
        <v>2041</v>
      </c>
      <c r="AU106" s="4">
        <v>2042</v>
      </c>
      <c r="AV106" s="4">
        <v>2043</v>
      </c>
      <c r="AW106" s="4">
        <v>2044</v>
      </c>
      <c r="AX106" s="4">
        <v>2045</v>
      </c>
      <c r="AY106" s="4">
        <v>2046</v>
      </c>
      <c r="AZ106" s="4">
        <v>2047</v>
      </c>
      <c r="BA106" s="4">
        <v>2048</v>
      </c>
      <c r="BB106" s="4">
        <v>2049</v>
      </c>
      <c r="BC106" s="4">
        <v>2050</v>
      </c>
      <c r="BD106" s="4">
        <v>2051</v>
      </c>
    </row>
    <row r="107" spans="10:56">
      <c r="J107" s="48"/>
      <c r="K107" s="12"/>
      <c r="L107" s="12"/>
      <c r="P107" s="49">
        <v>61</v>
      </c>
      <c r="Q107" s="106">
        <v>20.565582416916325</v>
      </c>
      <c r="R107" s="106">
        <v>20.710961366181792</v>
      </c>
      <c r="S107" s="106">
        <v>20.855804397738329</v>
      </c>
      <c r="T107" s="106">
        <v>21.000094155754848</v>
      </c>
      <c r="U107" s="106">
        <v>21.143813725063328</v>
      </c>
      <c r="V107" s="106">
        <v>21.286946632011364</v>
      </c>
      <c r="W107" s="106">
        <v>21.429476844955545</v>
      </c>
      <c r="X107" s="106">
        <v>21.571388774405769</v>
      </c>
      <c r="Y107" s="106">
        <v>21.712667272830089</v>
      </c>
      <c r="Z107" s="106">
        <v>21.853297634130332</v>
      </c>
      <c r="AA107" s="106">
        <v>21.993265592797961</v>
      </c>
      <c r="AB107" s="106">
        <v>22.132557322760487</v>
      </c>
      <c r="AC107" s="106">
        <v>22.27115943592776</v>
      </c>
      <c r="AD107" s="106">
        <v>22.409058980448233</v>
      </c>
      <c r="AE107" s="106">
        <v>22.546243438684844</v>
      </c>
      <c r="AF107" s="106">
        <v>22.682700724920252</v>
      </c>
      <c r="AG107" s="106">
        <v>22.818419182801154</v>
      </c>
      <c r="AH107" s="106">
        <v>22.953387582531288</v>
      </c>
      <c r="AI107" s="106">
        <v>23.087595117822744</v>
      </c>
      <c r="AJ107" s="106">
        <v>23.221031402615306</v>
      </c>
      <c r="AK107" s="106">
        <v>23.353686467573141</v>
      </c>
      <c r="AL107" s="106">
        <v>23.485550756368454</v>
      </c>
      <c r="AM107" s="106">
        <v>23.616615121761662</v>
      </c>
      <c r="AN107" s="106">
        <v>23.746870821486912</v>
      </c>
      <c r="AO107" s="106">
        <v>23.876309513953103</v>
      </c>
      <c r="AP107" s="106">
        <v>24.004923253768755</v>
      </c>
      <c r="AQ107" s="106">
        <v>24.132704487100312</v>
      </c>
      <c r="AR107" s="106">
        <v>24.259646046872902</v>
      </c>
      <c r="AS107" s="106">
        <v>24.385741147822337</v>
      </c>
      <c r="AT107" s="106">
        <v>24.510983381407161</v>
      </c>
      <c r="AU107" s="106">
        <v>24.635366710589715</v>
      </c>
      <c r="AV107" s="106">
        <v>24.758885464494348</v>
      </c>
      <c r="AW107" s="106">
        <v>24.881534332951841</v>
      </c>
      <c r="AX107" s="106">
        <v>25.003308360937723</v>
      </c>
      <c r="AY107" s="106">
        <v>25.124202942913183</v>
      </c>
      <c r="AZ107" s="106">
        <v>25.24421381707629</v>
      </c>
      <c r="BA107" s="106">
        <v>25.363337059531617</v>
      </c>
      <c r="BB107" s="106">
        <v>25.48156907838581</v>
      </c>
      <c r="BC107" s="106">
        <v>25.598906607776861</v>
      </c>
      <c r="BD107" s="106">
        <v>25.715346701844243</v>
      </c>
    </row>
    <row r="108" spans="10:56">
      <c r="J108" s="48"/>
      <c r="K108" s="12"/>
      <c r="L108" s="12"/>
      <c r="P108" s="49">
        <v>62</v>
      </c>
      <c r="Q108" s="106">
        <v>19.861435664147532</v>
      </c>
      <c r="R108" s="106">
        <v>20.005942178408432</v>
      </c>
      <c r="S108" s="106">
        <v>20.14990887571502</v>
      </c>
      <c r="T108" s="106">
        <v>20.293318643004501</v>
      </c>
      <c r="U108" s="106">
        <v>20.436154807841206</v>
      </c>
      <c r="V108" s="106">
        <v>20.578401138995872</v>
      </c>
      <c r="W108" s="106">
        <v>20.72004184667728</v>
      </c>
      <c r="X108" s="106">
        <v>20.861061582425876</v>
      </c>
      <c r="Y108" s="106">
        <v>21.00144543867934</v>
      </c>
      <c r="Z108" s="106">
        <v>21.141178948019686</v>
      </c>
      <c r="AA108" s="106">
        <v>21.280248082111534</v>
      </c>
      <c r="AB108" s="106">
        <v>21.418639250341396</v>
      </c>
      <c r="AC108" s="106">
        <v>21.556339298167362</v>
      </c>
      <c r="AD108" s="106">
        <v>21.693335505188941</v>
      </c>
      <c r="AE108" s="106">
        <v>21.82961558294646</v>
      </c>
      <c r="AF108" s="106">
        <v>21.965167672459742</v>
      </c>
      <c r="AG108" s="106">
        <v>22.09998034151522</v>
      </c>
      <c r="AH108" s="106">
        <v>22.2340425817113</v>
      </c>
      <c r="AI108" s="106">
        <v>22.367343805271044</v>
      </c>
      <c r="AJ108" s="106">
        <v>22.499873841631757</v>
      </c>
      <c r="AK108" s="106">
        <v>22.631622933820665</v>
      </c>
      <c r="AL108" s="106">
        <v>22.762581734626007</v>
      </c>
      <c r="AM108" s="106">
        <v>22.892741302572674</v>
      </c>
      <c r="AN108" s="106">
        <v>23.022093097711476</v>
      </c>
      <c r="AO108" s="106">
        <v>23.150628977231293</v>
      </c>
      <c r="AP108" s="106">
        <v>23.278341190902864</v>
      </c>
      <c r="AQ108" s="106">
        <v>23.405222376363167</v>
      </c>
      <c r="AR108" s="106">
        <v>23.531265554249305</v>
      </c>
      <c r="AS108" s="106">
        <v>23.656464123190457</v>
      </c>
      <c r="AT108" s="106">
        <v>23.780811854666457</v>
      </c>
      <c r="AU108" s="106">
        <v>23.904302887741746</v>
      </c>
      <c r="AV108" s="106">
        <v>24.026931723682729</v>
      </c>
      <c r="AW108" s="106">
        <v>24.148693220466978</v>
      </c>
      <c r="AX108" s="106">
        <v>24.269582587192374</v>
      </c>
      <c r="AY108" s="106">
        <v>24.389595378393981</v>
      </c>
      <c r="AZ108" s="106">
        <v>24.508727488276843</v>
      </c>
      <c r="BA108" s="106">
        <v>24.62697514487196</v>
      </c>
      <c r="BB108" s="106">
        <v>24.744334904123129</v>
      </c>
      <c r="BC108" s="106">
        <v>24.860803643912273</v>
      </c>
      <c r="BD108" s="106">
        <v>24.976378558029893</v>
      </c>
    </row>
    <row r="109" spans="10:56">
      <c r="J109" s="48"/>
      <c r="K109" s="12"/>
      <c r="L109" s="12"/>
      <c r="P109" s="49">
        <v>63</v>
      </c>
      <c r="Q109" s="106">
        <v>19.156967757268966</v>
      </c>
      <c r="R109" s="106">
        <v>19.300584267148022</v>
      </c>
      <c r="S109" s="106">
        <v>19.443655999332229</v>
      </c>
      <c r="T109" s="106">
        <v>19.586166127536092</v>
      </c>
      <c r="U109" s="106">
        <v>19.728098265222791</v>
      </c>
      <c r="V109" s="106">
        <v>19.869436465906126</v>
      </c>
      <c r="W109" s="106">
        <v>20.010165223117063</v>
      </c>
      <c r="X109" s="106">
        <v>20.150269470044886</v>
      </c>
      <c r="Y109" s="106">
        <v>20.289734578862031</v>
      </c>
      <c r="Z109" s="106">
        <v>20.428546359742583</v>
      </c>
      <c r="AA109" s="106">
        <v>20.566691059583508</v>
      </c>
      <c r="AB109" s="106">
        <v>20.704155360438264</v>
      </c>
      <c r="AC109" s="106">
        <v>20.840926377672169</v>
      </c>
      <c r="AD109" s="106">
        <v>20.976991657848757</v>
      </c>
      <c r="AE109" s="106">
        <v>21.1123391763564</v>
      </c>
      <c r="AF109" s="106">
        <v>21.246957334784781</v>
      </c>
      <c r="AG109" s="106">
        <v>21.380834958059889</v>
      </c>
      <c r="AH109" s="106">
        <v>21.513961291347275</v>
      </c>
      <c r="AI109" s="106">
        <v>21.646325996732298</v>
      </c>
      <c r="AJ109" s="106">
        <v>21.777919149686738</v>
      </c>
      <c r="AK109" s="106">
        <v>21.908731235330652</v>
      </c>
      <c r="AL109" s="106">
        <v>22.038753144498493</v>
      </c>
      <c r="AM109" s="106">
        <v>22.167976169618537</v>
      </c>
      <c r="AN109" s="106">
        <v>22.296392000414269</v>
      </c>
      <c r="AO109" s="106">
        <v>22.423992719436683</v>
      </c>
      <c r="AP109" s="106">
        <v>22.550770797436257</v>
      </c>
      <c r="AQ109" s="106">
        <v>22.676719088583006</v>
      </c>
      <c r="AR109" s="106">
        <v>22.801830825543398</v>
      </c>
      <c r="AS109" s="106">
        <v>22.926099614422405</v>
      </c>
      <c r="AT109" s="106">
        <v>23.049519429579242</v>
      </c>
      <c r="AU109" s="106">
        <v>23.172084608324663</v>
      </c>
      <c r="AV109" s="106">
        <v>23.293789845508414</v>
      </c>
      <c r="AW109" s="106">
        <v>23.414630188004377</v>
      </c>
      <c r="AX109" s="106">
        <v>23.534601029101601</v>
      </c>
      <c r="AY109" s="106">
        <v>23.653698102808779</v>
      </c>
      <c r="AZ109" s="106">
        <v>23.771917478079828</v>
      </c>
      <c r="BA109" s="106">
        <v>23.889255552968024</v>
      </c>
      <c r="BB109" s="106">
        <v>24.005709048715907</v>
      </c>
      <c r="BC109" s="106">
        <v>24.121275003788178</v>
      </c>
      <c r="BD109" s="106">
        <v>24.235950767854618</v>
      </c>
    </row>
    <row r="110" spans="10:56">
      <c r="J110" s="48"/>
      <c r="K110" s="12"/>
      <c r="L110" s="12"/>
      <c r="P110" s="49">
        <v>64</v>
      </c>
      <c r="Q110" s="106">
        <v>18.459298404285146</v>
      </c>
      <c r="R110" s="106">
        <v>18.601789033014331</v>
      </c>
      <c r="S110" s="106">
        <v>18.743731456064474</v>
      </c>
      <c r="T110" s="106">
        <v>18.885109200435139</v>
      </c>
      <c r="U110" s="106">
        <v>19.025906229510277</v>
      </c>
      <c r="V110" s="106">
        <v>19.166106943092473</v>
      </c>
      <c r="W110" s="106">
        <v>19.305696177116978</v>
      </c>
      <c r="X110" s="106">
        <v>19.444659203055224</v>
      </c>
      <c r="Y110" s="106">
        <v>19.582981727016843</v>
      </c>
      <c r="Z110" s="106">
        <v>19.720649888559386</v>
      </c>
      <c r="AA110" s="106">
        <v>19.85765025921491</v>
      </c>
      <c r="AB110" s="106">
        <v>19.993969840742334</v>
      </c>
      <c r="AC110" s="106">
        <v>20.129596063114782</v>
      </c>
      <c r="AD110" s="106">
        <v>20.264516782250702</v>
      </c>
      <c r="AE110" s="106">
        <v>20.398720277497809</v>
      </c>
      <c r="AF110" s="106">
        <v>20.532195248878704</v>
      </c>
      <c r="AG110" s="106">
        <v>20.664930814106974</v>
      </c>
      <c r="AH110" s="106">
        <v>20.796916505382686</v>
      </c>
      <c r="AI110" s="106">
        <v>20.928142265975971</v>
      </c>
      <c r="AJ110" s="106">
        <v>21.058598446607434</v>
      </c>
      <c r="AK110" s="106">
        <v>21.188275801634106</v>
      </c>
      <c r="AL110" s="106">
        <v>21.317165485049504</v>
      </c>
      <c r="AM110" s="106">
        <v>21.445259046306475</v>
      </c>
      <c r="AN110" s="106">
        <v>21.572548425971167</v>
      </c>
      <c r="AO110" s="106">
        <v>21.699025951216768</v>
      </c>
      <c r="AP110" s="106">
        <v>21.824684331165212</v>
      </c>
      <c r="AQ110" s="106">
        <v>21.94951665208524</v>
      </c>
      <c r="AR110" s="106">
        <v>22.073516372454986</v>
      </c>
      <c r="AS110" s="106">
        <v>22.19667731789724</v>
      </c>
      <c r="AT110" s="106">
        <v>22.318993675995319</v>
      </c>
      <c r="AU110" s="106">
        <v>22.440459990997656</v>
      </c>
      <c r="AV110" s="106">
        <v>22.561071158418585</v>
      </c>
      <c r="AW110" s="106">
        <v>22.680822419543389</v>
      </c>
      <c r="AX110" s="106">
        <v>22.799709355844826</v>
      </c>
      <c r="AY110" s="106">
        <v>22.9177278833189</v>
      </c>
      <c r="AZ110" s="106">
        <v>23.034874246746956</v>
      </c>
      <c r="BA110" s="106">
        <v>23.151145013891202</v>
      </c>
      <c r="BB110" s="106">
        <v>23.266537069631092</v>
      </c>
      <c r="BC110" s="106">
        <v>23.381047610046792</v>
      </c>
      <c r="BD110" s="106">
        <v>23.494674136457181</v>
      </c>
    </row>
    <row r="111" spans="10:56">
      <c r="J111" s="48"/>
      <c r="K111" s="12"/>
      <c r="L111" s="12"/>
      <c r="P111" s="49">
        <v>65</v>
      </c>
      <c r="Q111" s="106">
        <v>17.770146577265187</v>
      </c>
      <c r="R111" s="106">
        <v>17.911146739345597</v>
      </c>
      <c r="S111" s="106">
        <v>18.051599173432855</v>
      </c>
      <c r="T111" s="106">
        <v>18.191487828793047</v>
      </c>
      <c r="U111" s="106">
        <v>18.330797083683578</v>
      </c>
      <c r="V111" s="106">
        <v>18.469511745170426</v>
      </c>
      <c r="W111" s="106">
        <v>18.607617048643938</v>
      </c>
      <c r="X111" s="106">
        <v>18.745098657042249</v>
      </c>
      <c r="Y111" s="106">
        <v>18.881942659790436</v>
      </c>
      <c r="Z111" s="106">
        <v>19.018135571464573</v>
      </c>
      <c r="AA111" s="106">
        <v>19.153664330188683</v>
      </c>
      <c r="AB111" s="106">
        <v>19.288516295773391</v>
      </c>
      <c r="AC111" s="106">
        <v>19.422679247604659</v>
      </c>
      <c r="AD111" s="106">
        <v>19.556141382290956</v>
      </c>
      <c r="AE111" s="106">
        <v>19.688891311077221</v>
      </c>
      <c r="AF111" s="106">
        <v>19.820918057034</v>
      </c>
      <c r="AG111" s="106">
        <v>19.952211052030137</v>
      </c>
      <c r="AH111" s="106">
        <v>20.082760133497068</v>
      </c>
      <c r="AI111" s="106">
        <v>20.21255554099324</v>
      </c>
      <c r="AJ111" s="106">
        <v>20.341587912576621</v>
      </c>
      <c r="AK111" s="106">
        <v>20.469848280993585</v>
      </c>
      <c r="AL111" s="106">
        <v>20.597328069692324</v>
      </c>
      <c r="AM111" s="106">
        <v>20.724019088668786</v>
      </c>
      <c r="AN111" s="106">
        <v>20.849913530153149</v>
      </c>
      <c r="AO111" s="106">
        <v>20.975003964144943</v>
      </c>
      <c r="AP111" s="106">
        <v>21.099283333804578</v>
      </c>
      <c r="AQ111" s="106">
        <v>21.222744950709135</v>
      </c>
      <c r="AR111" s="106">
        <v>21.345382489980363</v>
      </c>
      <c r="AS111" s="106">
        <v>21.467189985292215</v>
      </c>
      <c r="AT111" s="106">
        <v>21.588161823766004</v>
      </c>
      <c r="AU111" s="106">
        <v>21.708292740760179</v>
      </c>
      <c r="AV111" s="106">
        <v>21.827577814562552</v>
      </c>
      <c r="AW111" s="106">
        <v>21.946012460991987</v>
      </c>
      <c r="AX111" s="106">
        <v>22.063592427916991</v>
      </c>
      <c r="AY111" s="106">
        <v>22.180313789697994</v>
      </c>
      <c r="AZ111" s="106">
        <v>22.296172941560599</v>
      </c>
      <c r="BA111" s="106">
        <v>22.411166593906355</v>
      </c>
      <c r="BB111" s="106">
        <v>22.525291766567868</v>
      </c>
      <c r="BC111" s="106">
        <v>22.638545783014933</v>
      </c>
      <c r="BD111" s="106">
        <v>22.750926264517716</v>
      </c>
    </row>
    <row r="112" spans="10:56">
      <c r="J112" s="48"/>
      <c r="K112" s="12"/>
      <c r="L112" s="12"/>
      <c r="P112" s="49">
        <v>66</v>
      </c>
      <c r="Q112" s="106">
        <v>17.083581952222293</v>
      </c>
      <c r="R112" s="106">
        <v>17.222710885155447</v>
      </c>
      <c r="S112" s="106">
        <v>17.361298651696227</v>
      </c>
      <c r="T112" s="106">
        <v>17.499329660007309</v>
      </c>
      <c r="U112" s="106">
        <v>17.636788734863167</v>
      </c>
      <c r="V112" s="106">
        <v>17.773661117368682</v>
      </c>
      <c r="W112" s="106">
        <v>17.909932464397006</v>
      </c>
      <c r="X112" s="106">
        <v>18.045588847754463</v>
      </c>
      <c r="Y112" s="106">
        <v>18.180616753080283</v>
      </c>
      <c r="Z112" s="106">
        <v>18.315003078488992</v>
      </c>
      <c r="AA112" s="106">
        <v>18.448735132962952</v>
      </c>
      <c r="AB112" s="106">
        <v>18.581800634502983</v>
      </c>
      <c r="AC112" s="106">
        <v>18.714187708044484</v>
      </c>
      <c r="AD112" s="106">
        <v>18.845884883146951</v>
      </c>
      <c r="AE112" s="106">
        <v>18.97688109146408</v>
      </c>
      <c r="AF112" s="106">
        <v>19.107165664002562</v>
      </c>
      <c r="AG112" s="106">
        <v>19.236728328176714</v>
      </c>
      <c r="AH112" s="106">
        <v>19.365559204666766</v>
      </c>
      <c r="AI112" s="106">
        <v>19.49364880408821</v>
      </c>
      <c r="AJ112" s="106">
        <v>19.620988023479924</v>
      </c>
      <c r="AK112" s="106">
        <v>19.747568142618341</v>
      </c>
      <c r="AL112" s="106">
        <v>19.87338082016532</v>
      </c>
      <c r="AM112" s="106">
        <v>19.998418089657267</v>
      </c>
      <c r="AN112" s="106">
        <v>20.122672355342559</v>
      </c>
      <c r="AO112" s="106">
        <v>20.246136387875126</v>
      </c>
      <c r="AP112" s="106">
        <v>20.368803319871258</v>
      </c>
      <c r="AQ112" s="106">
        <v>20.490666641337004</v>
      </c>
      <c r="AR112" s="106">
        <v>20.61172019497339</v>
      </c>
      <c r="AS112" s="106">
        <v>20.731958171366745</v>
      </c>
      <c r="AT112" s="106">
        <v>20.851375104070971</v>
      </c>
      <c r="AU112" s="106">
        <v>20.969965864589248</v>
      </c>
      <c r="AV112" s="106">
        <v>21.087725657261707</v>
      </c>
      <c r="AW112" s="106">
        <v>21.204650014066107</v>
      </c>
      <c r="AX112" s="106">
        <v>21.32073478933841</v>
      </c>
      <c r="AY112" s="106">
        <v>21.435976154419656</v>
      </c>
      <c r="AZ112" s="106">
        <v>21.550370592236117</v>
      </c>
      <c r="BA112" s="106">
        <v>21.663914891818603</v>
      </c>
      <c r="BB112" s="106">
        <v>21.776606142767964</v>
      </c>
      <c r="BC112" s="106">
        <v>21.888441729672437</v>
      </c>
      <c r="BD112" s="106">
        <v>21.9994193264831</v>
      </c>
    </row>
    <row r="113" spans="10:56">
      <c r="J113" s="48"/>
      <c r="K113" s="12"/>
      <c r="L113" s="12"/>
      <c r="P113" s="49">
        <v>67</v>
      </c>
      <c r="Q113" s="106">
        <v>16.401124988922838</v>
      </c>
      <c r="R113" s="106">
        <v>16.537902066474455</v>
      </c>
      <c r="S113" s="106">
        <v>16.674153771579835</v>
      </c>
      <c r="T113" s="106">
        <v>16.809864964039921</v>
      </c>
      <c r="U113" s="106">
        <v>16.945020901892352</v>
      </c>
      <c r="V113" s="106">
        <v>17.079607241232043</v>
      </c>
      <c r="W113" s="106">
        <v>17.213610035771072</v>
      </c>
      <c r="X113" s="106">
        <v>17.347015736144954</v>
      </c>
      <c r="Y113" s="106">
        <v>17.479811188971642</v>
      </c>
      <c r="Z113" s="106">
        <v>17.611983635669951</v>
      </c>
      <c r="AA113" s="106">
        <v>17.743520711044123</v>
      </c>
      <c r="AB113" s="106">
        <v>17.874410441640986</v>
      </c>
      <c r="AC113" s="106">
        <v>18.00464124388651</v>
      </c>
      <c r="AD113" s="106">
        <v>18.134201922008263</v>
      </c>
      <c r="AE113" s="106">
        <v>18.263081665750452</v>
      </c>
      <c r="AF113" s="106">
        <v>18.39127004788827</v>
      </c>
      <c r="AG113" s="106">
        <v>18.518757021548154</v>
      </c>
      <c r="AH113" s="106">
        <v>18.645532917340731</v>
      </c>
      <c r="AI113" s="106">
        <v>18.771588440313067</v>
      </c>
      <c r="AJ113" s="106">
        <v>18.896914666727191</v>
      </c>
      <c r="AK113" s="106">
        <v>19.021503040671188</v>
      </c>
      <c r="AL113" s="106">
        <v>19.145345370510221</v>
      </c>
      <c r="AM113" s="106">
        <v>19.268433825183667</v>
      </c>
      <c r="AN113" s="106">
        <v>19.390760930355427</v>
      </c>
      <c r="AO113" s="106">
        <v>19.512319564424168</v>
      </c>
      <c r="AP113" s="106">
        <v>19.633102954400005</v>
      </c>
      <c r="AQ113" s="106">
        <v>19.753104671654569</v>
      </c>
      <c r="AR113" s="106">
        <v>19.872318627550971</v>
      </c>
      <c r="AS113" s="106">
        <v>19.990739068960394</v>
      </c>
      <c r="AT113" s="106">
        <v>20.108360573671835</v>
      </c>
      <c r="AU113" s="106">
        <v>20.225178045701686</v>
      </c>
      <c r="AV113" s="106">
        <v>20.341186710509454</v>
      </c>
      <c r="AW113" s="106">
        <v>20.456382110126228</v>
      </c>
      <c r="AX113" s="106">
        <v>20.570760098202154</v>
      </c>
      <c r="AY113" s="106">
        <v>20.684316834979143</v>
      </c>
      <c r="AZ113" s="106">
        <v>20.797048782195297</v>
      </c>
      <c r="BA113" s="106">
        <v>20.908952697926697</v>
      </c>
      <c r="BB113" s="106">
        <v>21.020025631373038</v>
      </c>
      <c r="BC113" s="106">
        <v>21.130264917592644</v>
      </c>
      <c r="BD113" s="106">
        <v>21.239668172192967</v>
      </c>
    </row>
    <row r="114" spans="10:56">
      <c r="J114" s="48"/>
      <c r="K114" s="12"/>
      <c r="L114" s="12"/>
      <c r="P114" s="49">
        <v>68</v>
      </c>
      <c r="Q114" s="106">
        <v>15.726054247914288</v>
      </c>
      <c r="R114" s="106">
        <v>15.85989462241033</v>
      </c>
      <c r="S114" s="106">
        <v>15.993238138570813</v>
      </c>
      <c r="T114" s="106">
        <v>16.126070028067314</v>
      </c>
      <c r="U114" s="106">
        <v>16.258375896377512</v>
      </c>
      <c r="V114" s="106">
        <v>16.390141722984399</v>
      </c>
      <c r="W114" s="106">
        <v>16.521353861331821</v>
      </c>
      <c r="X114" s="106">
        <v>16.651999038541543</v>
      </c>
      <c r="Y114" s="106">
        <v>16.78206435489717</v>
      </c>
      <c r="Z114" s="106">
        <v>16.911537283099996</v>
      </c>
      <c r="AA114" s="106">
        <v>17.040405667302334</v>
      </c>
      <c r="AB114" s="106">
        <v>17.16865772192358</v>
      </c>
      <c r="AC114" s="106">
        <v>17.296282030254471</v>
      </c>
      <c r="AD114" s="106">
        <v>17.423267542855029</v>
      </c>
      <c r="AE114" s="106">
        <v>17.549603575751767</v>
      </c>
      <c r="AF114" s="106">
        <v>17.675279808439782</v>
      </c>
      <c r="AG114" s="106">
        <v>17.800286281695382</v>
      </c>
      <c r="AH114" s="106">
        <v>17.924613395205053</v>
      </c>
      <c r="AI114" s="106">
        <v>18.048251905016588</v>
      </c>
      <c r="AJ114" s="106">
        <v>18.171192920818225</v>
      </c>
      <c r="AK114" s="106">
        <v>18.293427903051658</v>
      </c>
      <c r="AL114" s="106">
        <v>18.414948659865107</v>
      </c>
      <c r="AM114" s="106">
        <v>18.535747343912238</v>
      </c>
      <c r="AN114" s="106">
        <v>18.655816449003083</v>
      </c>
      <c r="AO114" s="106">
        <v>18.775148806613092</v>
      </c>
      <c r="AP114" s="106">
        <v>18.893737582256399</v>
      </c>
      <c r="AQ114" s="106">
        <v>19.011576271729389</v>
      </c>
      <c r="AR114" s="106">
        <v>19.128658697230712</v>
      </c>
      <c r="AS114" s="106">
        <v>19.244979003363959</v>
      </c>
      <c r="AT114" s="106">
        <v>19.360531653028968</v>
      </c>
      <c r="AU114" s="106">
        <v>19.475311423208055</v>
      </c>
      <c r="AV114" s="106">
        <v>19.589313400653058</v>
      </c>
      <c r="AW114" s="106">
        <v>19.702532977479422</v>
      </c>
      <c r="AX114" s="106">
        <v>19.814965846673154</v>
      </c>
      <c r="AY114" s="106">
        <v>19.926607997516744</v>
      </c>
      <c r="AZ114" s="106">
        <v>20.037455710939923</v>
      </c>
      <c r="BA114" s="106">
        <v>20.147505554800954</v>
      </c>
      <c r="BB114" s="106">
        <v>20.256754379104457</v>
      </c>
      <c r="BC114" s="106">
        <v>20.365199311161255</v>
      </c>
      <c r="BD114" s="106">
        <v>20.472837750695884</v>
      </c>
    </row>
    <row r="115" spans="10:56">
      <c r="J115" s="48"/>
      <c r="K115" s="12"/>
      <c r="L115" s="12"/>
      <c r="P115" s="49">
        <v>69</v>
      </c>
      <c r="Q115" s="106">
        <v>15.053815539707859</v>
      </c>
      <c r="R115" s="106">
        <v>15.184283042329152</v>
      </c>
      <c r="S115" s="106">
        <v>15.314293273436713</v>
      </c>
      <c r="T115" s="106">
        <v>15.443831715022888</v>
      </c>
      <c r="U115" s="106">
        <v>15.572884194869323</v>
      </c>
      <c r="V115" s="106">
        <v>15.701436887364469</v>
      </c>
      <c r="W115" s="106">
        <v>15.829476314088627</v>
      </c>
      <c r="X115" s="106">
        <v>15.956989344170058</v>
      </c>
      <c r="Y115" s="106">
        <v>16.08396319441615</v>
      </c>
      <c r="Z115" s="106">
        <v>16.21038542922334</v>
      </c>
      <c r="AA115" s="106">
        <v>16.336243960269833</v>
      </c>
      <c r="AB115" s="106">
        <v>16.46152704599524</v>
      </c>
      <c r="AC115" s="106">
        <v>16.586223290871413</v>
      </c>
      <c r="AD115" s="106">
        <v>16.710321644468671</v>
      </c>
      <c r="AE115" s="106">
        <v>16.83381140032208</v>
      </c>
      <c r="AF115" s="106">
        <v>16.956682194602255</v>
      </c>
      <c r="AG115" s="106">
        <v>17.078924004595429</v>
      </c>
      <c r="AH115" s="106">
        <v>17.200527146997665</v>
      </c>
      <c r="AI115" s="106">
        <v>17.321482276028171</v>
      </c>
      <c r="AJ115" s="106">
        <v>17.441780381366723</v>
      </c>
      <c r="AK115" s="106">
        <v>17.561412785920385</v>
      </c>
      <c r="AL115" s="106">
        <v>17.680371143424885</v>
      </c>
      <c r="AM115" s="106">
        <v>17.798647435885837</v>
      </c>
      <c r="AN115" s="106">
        <v>17.91623397086542</v>
      </c>
      <c r="AO115" s="106">
        <v>18.033123378619884</v>
      </c>
      <c r="AP115" s="106">
        <v>18.149308609093556</v>
      </c>
      <c r="AQ115" s="106">
        <v>18.264782928774931</v>
      </c>
      <c r="AR115" s="106">
        <v>18.379539917420583</v>
      </c>
      <c r="AS115" s="106">
        <v>18.493573464652467</v>
      </c>
      <c r="AT115" s="106">
        <v>18.606877766434607</v>
      </c>
      <c r="AU115" s="106">
        <v>18.719447321434593</v>
      </c>
      <c r="AV115" s="106">
        <v>18.831276927276029</v>
      </c>
      <c r="AW115" s="106">
        <v>18.942361676687373</v>
      </c>
      <c r="AX115" s="106">
        <v>19.052696953553077</v>
      </c>
      <c r="AY115" s="106">
        <v>19.162278428872785</v>
      </c>
      <c r="AZ115" s="106">
        <v>19.271102056634234</v>
      </c>
      <c r="BA115" s="106">
        <v>19.379164069605448</v>
      </c>
      <c r="BB115" s="106">
        <v>19.486460975052051</v>
      </c>
      <c r="BC115" s="106">
        <v>19.592989550385052</v>
      </c>
      <c r="BD115" s="106">
        <v>19.698746838744736</v>
      </c>
    </row>
    <row r="116" spans="10:56">
      <c r="J116" s="48"/>
      <c r="K116" s="12"/>
      <c r="L116" s="12"/>
      <c r="P116" s="49">
        <v>70</v>
      </c>
      <c r="Q116" s="106">
        <v>14.39446979823043</v>
      </c>
      <c r="R116" s="106">
        <v>14.52107641201799</v>
      </c>
      <c r="S116" s="106">
        <v>14.647275282458953</v>
      </c>
      <c r="T116" s="106">
        <v>14.773052041294831</v>
      </c>
      <c r="U116" s="106">
        <v>14.898392635566058</v>
      </c>
      <c r="V116" s="106">
        <v>15.023283329209141</v>
      </c>
      <c r="W116" s="106">
        <v>15.14771070442862</v>
      </c>
      <c r="X116" s="106">
        <v>15.271661662846149</v>
      </c>
      <c r="Y116" s="106">
        <v>15.395123426428786</v>
      </c>
      <c r="Z116" s="106">
        <v>15.518083538199043</v>
      </c>
      <c r="AA116" s="106">
        <v>15.64052986272938</v>
      </c>
      <c r="AB116" s="106">
        <v>15.762450586423796</v>
      </c>
      <c r="AC116" s="106">
        <v>15.883834217589731</v>
      </c>
      <c r="AD116" s="106">
        <v>16.004669586303368</v>
      </c>
      <c r="AE116" s="106">
        <v>16.124945844071835</v>
      </c>
      <c r="AF116" s="106">
        <v>16.244652463295711</v>
      </c>
      <c r="AG116" s="106">
        <v>16.363779236535862</v>
      </c>
      <c r="AH116" s="106">
        <v>16.482316275588335</v>
      </c>
      <c r="AI116" s="106">
        <v>16.600254010371561</v>
      </c>
      <c r="AJ116" s="106">
        <v>16.717583187630105</v>
      </c>
      <c r="AK116" s="106">
        <v>16.834294869459434</v>
      </c>
      <c r="AL116" s="106">
        <v>16.950380431656257</v>
      </c>
      <c r="AM116" s="106">
        <v>17.065831561899262</v>
      </c>
      <c r="AN116" s="106">
        <v>17.180640257764967</v>
      </c>
      <c r="AO116" s="106">
        <v>17.294798824583836</v>
      </c>
      <c r="AP116" s="106">
        <v>17.40829987314164</v>
      </c>
      <c r="AQ116" s="106">
        <v>17.521136317231221</v>
      </c>
      <c r="AR116" s="106">
        <v>17.633301371060185</v>
      </c>
      <c r="AS116" s="106">
        <v>17.744788546519469</v>
      </c>
      <c r="AT116" s="106">
        <v>17.855591650318541</v>
      </c>
      <c r="AU116" s="106">
        <v>17.965704780992603</v>
      </c>
      <c r="AV116" s="106">
        <v>18.075122325787227</v>
      </c>
      <c r="AW116" s="106">
        <v>18.183838957426069</v>
      </c>
      <c r="AX116" s="106">
        <v>18.291849630767118</v>
      </c>
      <c r="AY116" s="106">
        <v>18.39914957935321</v>
      </c>
      <c r="AZ116" s="106">
        <v>18.505734311862231</v>
      </c>
      <c r="BA116" s="106">
        <v>18.611599608462555</v>
      </c>
      <c r="BB116" s="106">
        <v>18.716741517079448</v>
      </c>
      <c r="BC116" s="106">
        <v>18.821156349577702</v>
      </c>
      <c r="BD116" s="106">
        <v>18.924840677866122</v>
      </c>
    </row>
    <row r="117" spans="10:56">
      <c r="J117" s="48"/>
      <c r="K117" s="12"/>
      <c r="L117" s="12"/>
      <c r="P117" s="49">
        <v>71</v>
      </c>
      <c r="Q117" s="106">
        <v>13.740685696912745</v>
      </c>
      <c r="R117" s="106">
        <v>13.863227831550542</v>
      </c>
      <c r="S117" s="106">
        <v>13.985415048268139</v>
      </c>
      <c r="T117" s="106">
        <v>14.107233097476319</v>
      </c>
      <c r="U117" s="106">
        <v>14.228668014222787</v>
      </c>
      <c r="V117" s="106">
        <v>14.349706120581171</v>
      </c>
      <c r="W117" s="106">
        <v>14.470334027821869</v>
      </c>
      <c r="X117" s="106">
        <v>14.590538638365183</v>
      </c>
      <c r="Y117" s="106">
        <v>14.710307147517616</v>
      </c>
      <c r="Z117" s="106">
        <v>14.829627044992479</v>
      </c>
      <c r="AA117" s="106">
        <v>14.948486116216031</v>
      </c>
      <c r="AB117" s="106">
        <v>15.066872443420818</v>
      </c>
      <c r="AC117" s="106">
        <v>15.184774406527991</v>
      </c>
      <c r="AD117" s="106">
        <v>15.302180683820856</v>
      </c>
      <c r="AE117" s="106">
        <v>15.419080252411799</v>
      </c>
      <c r="AF117" s="106">
        <v>15.53546238850547</v>
      </c>
      <c r="AG117" s="106">
        <v>15.651316667460694</v>
      </c>
      <c r="AH117" s="106">
        <v>15.766632963654661</v>
      </c>
      <c r="AI117" s="106">
        <v>15.881401450152303</v>
      </c>
      <c r="AJ117" s="106">
        <v>15.995612598184589</v>
      </c>
      <c r="AK117" s="106">
        <v>16.109257176439527</v>
      </c>
      <c r="AL117" s="106">
        <v>16.222326250169608</v>
      </c>
      <c r="AM117" s="106">
        <v>16.33481118012002</v>
      </c>
      <c r="AN117" s="106">
        <v>16.446703621281788</v>
      </c>
      <c r="AO117" s="106">
        <v>16.557995521474442</v>
      </c>
      <c r="AP117" s="106">
        <v>16.668679119762686</v>
      </c>
      <c r="AQ117" s="106">
        <v>16.778746944711891</v>
      </c>
      <c r="AR117" s="106">
        <v>16.888191812487342</v>
      </c>
      <c r="AS117" s="106">
        <v>16.99700682480205</v>
      </c>
      <c r="AT117" s="106">
        <v>17.105185366718494</v>
      </c>
      <c r="AU117" s="106">
        <v>17.2127211043092</v>
      </c>
      <c r="AV117" s="106">
        <v>17.319607982181584</v>
      </c>
      <c r="AW117" s="106">
        <v>17.425840220872328</v>
      </c>
      <c r="AX117" s="106">
        <v>17.531412314116558</v>
      </c>
      <c r="AY117" s="106">
        <v>17.636319025997487</v>
      </c>
      <c r="AZ117" s="106">
        <v>17.740555387981573</v>
      </c>
      <c r="BA117" s="106">
        <v>17.84411669584502</v>
      </c>
      <c r="BB117" s="106">
        <v>17.946998506496822</v>
      </c>
      <c r="BC117" s="106">
        <v>18.049196634703854</v>
      </c>
      <c r="BD117" s="106">
        <v>18.150707149723509</v>
      </c>
    </row>
    <row r="118" spans="10:56">
      <c r="J118" s="48"/>
      <c r="K118" s="12"/>
      <c r="L118" s="12"/>
      <c r="P118" s="49">
        <v>72</v>
      </c>
      <c r="Q118" s="106">
        <v>13.098766731122909</v>
      </c>
      <c r="R118" s="106">
        <v>13.217046549481761</v>
      </c>
      <c r="S118" s="106">
        <v>13.335025026801198</v>
      </c>
      <c r="T118" s="106">
        <v>13.452688062881853</v>
      </c>
      <c r="U118" s="106">
        <v>13.570021811541528</v>
      </c>
      <c r="V118" s="106">
        <v>13.687012683734968</v>
      </c>
      <c r="W118" s="106">
        <v>13.803647350464363</v>
      </c>
      <c r="X118" s="106">
        <v>13.919912745479749</v>
      </c>
      <c r="Y118" s="106">
        <v>14.035796067768759</v>
      </c>
      <c r="Z118" s="106">
        <v>14.151284783835298</v>
      </c>
      <c r="AA118" s="106">
        <v>14.266366629767347</v>
      </c>
      <c r="AB118" s="106">
        <v>14.381029613094192</v>
      </c>
      <c r="AC118" s="106">
        <v>14.495262014433733</v>
      </c>
      <c r="AD118" s="106">
        <v>14.609052388931056</v>
      </c>
      <c r="AE118" s="106">
        <v>14.722389567489309</v>
      </c>
      <c r="AF118" s="106">
        <v>14.835262657794759</v>
      </c>
      <c r="AG118" s="106">
        <v>14.947661045137801</v>
      </c>
      <c r="AH118" s="106">
        <v>15.059574393032147</v>
      </c>
      <c r="AI118" s="106">
        <v>15.170992643634712</v>
      </c>
      <c r="AJ118" s="106">
        <v>15.281906017968936</v>
      </c>
      <c r="AK118" s="106">
        <v>15.392305015954506</v>
      </c>
      <c r="AL118" s="106">
        <v>15.502180416246787</v>
      </c>
      <c r="AM118" s="106">
        <v>15.611523275889354</v>
      </c>
      <c r="AN118" s="106">
        <v>15.720324929783438</v>
      </c>
      <c r="AO118" s="106">
        <v>15.828576989978046</v>
      </c>
      <c r="AP118" s="106">
        <v>15.936271344785007</v>
      </c>
      <c r="AQ118" s="106">
        <v>16.043400157723028</v>
      </c>
      <c r="AR118" s="106">
        <v>16.14995586629534</v>
      </c>
      <c r="AS118" s="106">
        <v>16.255931180605426</v>
      </c>
      <c r="AT118" s="106">
        <v>16.361319081815548</v>
      </c>
      <c r="AU118" s="106">
        <v>16.466112820452967</v>
      </c>
      <c r="AV118" s="106">
        <v>16.570305914568703</v>
      </c>
      <c r="AW118" s="106">
        <v>16.673892147753943</v>
      </c>
      <c r="AX118" s="106">
        <v>16.776865567019133</v>
      </c>
      <c r="AY118" s="106">
        <v>16.879220480541001</v>
      </c>
      <c r="AZ118" s="106">
        <v>16.980951455282721</v>
      </c>
      <c r="BA118" s="106">
        <v>17.08205331449242</v>
      </c>
      <c r="BB118" s="106">
        <v>17.182521135085466</v>
      </c>
      <c r="BC118" s="106">
        <v>17.282350244915751</v>
      </c>
      <c r="BD118" s="106">
        <v>17.381536219941289</v>
      </c>
    </row>
    <row r="119" spans="10:56">
      <c r="J119" s="48"/>
      <c r="K119" s="12"/>
      <c r="L119" s="12"/>
      <c r="P119" s="49">
        <v>73</v>
      </c>
      <c r="Q119" s="106">
        <v>12.472625460774523</v>
      </c>
      <c r="R119" s="106">
        <v>12.586532139841905</v>
      </c>
      <c r="S119" s="106">
        <v>12.70018759288542</v>
      </c>
      <c r="T119" s="106">
        <v>12.813577978409093</v>
      </c>
      <c r="U119" s="106">
        <v>12.926689678694492</v>
      </c>
      <c r="V119" s="106">
        <v>13.039509303520482</v>
      </c>
      <c r="W119" s="106">
        <v>13.152023693686569</v>
      </c>
      <c r="X119" s="106">
        <v>13.264219924337498</v>
      </c>
      <c r="Y119" s="106">
        <v>13.376085308087166</v>
      </c>
      <c r="Z119" s="106">
        <v>13.487607397940293</v>
      </c>
      <c r="AA119" s="106">
        <v>13.598773990010672</v>
      </c>
      <c r="AB119" s="106">
        <v>13.709573126035222</v>
      </c>
      <c r="AC119" s="106">
        <v>13.819993095683298</v>
      </c>
      <c r="AD119" s="106">
        <v>13.930022438661416</v>
      </c>
      <c r="AE119" s="106">
        <v>14.039649946613332</v>
      </c>
      <c r="AF119" s="106">
        <v>14.1488646648165</v>
      </c>
      <c r="AG119" s="106">
        <v>14.257655893675606</v>
      </c>
      <c r="AH119" s="106">
        <v>14.366013190014604</v>
      </c>
      <c r="AI119" s="106">
        <v>14.473926368168847</v>
      </c>
      <c r="AJ119" s="106">
        <v>14.581385500879309</v>
      </c>
      <c r="AK119" s="106">
        <v>14.688380919991078</v>
      </c>
      <c r="AL119" s="106">
        <v>14.794903216958616</v>
      </c>
      <c r="AM119" s="106">
        <v>14.900943243160668</v>
      </c>
      <c r="AN119" s="106">
        <v>15.006492110027702</v>
      </c>
      <c r="AO119" s="106">
        <v>15.111541188985367</v>
      </c>
      <c r="AP119" s="106">
        <v>15.216082111217213</v>
      </c>
      <c r="AQ119" s="106">
        <v>15.320106767250621</v>
      </c>
      <c r="AR119" s="106">
        <v>15.423607306369725</v>
      </c>
      <c r="AS119" s="106">
        <v>15.526576135859374</v>
      </c>
      <c r="AT119" s="106">
        <v>15.629005920084513</v>
      </c>
      <c r="AU119" s="106">
        <v>15.73088957940929</v>
      </c>
      <c r="AV119" s="106">
        <v>15.832220288960439</v>
      </c>
      <c r="AW119" s="106">
        <v>15.932991477239625</v>
      </c>
      <c r="AX119" s="106">
        <v>16.033196824589425</v>
      </c>
      <c r="AY119" s="106">
        <v>16.132830261517981</v>
      </c>
      <c r="AZ119" s="106">
        <v>16.231885966887084</v>
      </c>
      <c r="BA119" s="106">
        <v>16.330358365968728</v>
      </c>
      <c r="BB119" s="106">
        <v>16.428242128375306</v>
      </c>
      <c r="BC119" s="106">
        <v>16.52553216586838</v>
      </c>
      <c r="BD119" s="106">
        <v>16.622223630051352</v>
      </c>
    </row>
    <row r="120" spans="10:56">
      <c r="J120" s="48"/>
      <c r="K120" s="12"/>
      <c r="L120" s="12"/>
      <c r="P120" s="49">
        <v>74</v>
      </c>
      <c r="Q120" s="106">
        <v>11.853528658621597</v>
      </c>
      <c r="R120" s="106">
        <v>11.963178121475426</v>
      </c>
      <c r="S120" s="106">
        <v>12.072619067906954</v>
      </c>
      <c r="T120" s="106">
        <v>12.181838050240611</v>
      </c>
      <c r="U120" s="106">
        <v>12.290821815562545</v>
      </c>
      <c r="V120" s="106">
        <v>12.399557309898755</v>
      </c>
      <c r="W120" s="106">
        <v>12.508031682211444</v>
      </c>
      <c r="X120" s="106">
        <v>12.616232288210156</v>
      </c>
      <c r="Y120" s="106">
        <v>12.724146693974514</v>
      </c>
      <c r="Z120" s="106">
        <v>12.831762679385941</v>
      </c>
      <c r="AA120" s="106">
        <v>12.93906824136617</v>
      </c>
      <c r="AB120" s="106">
        <v>13.0460515969206</v>
      </c>
      <c r="AC120" s="106">
        <v>13.152701185985153</v>
      </c>
      <c r="AD120" s="106">
        <v>13.259005674075645</v>
      </c>
      <c r="AE120" s="106">
        <v>13.364953954738912</v>
      </c>
      <c r="AF120" s="106">
        <v>13.470535151805596</v>
      </c>
      <c r="AG120" s="106">
        <v>13.575738621444653</v>
      </c>
      <c r="AH120" s="106">
        <v>13.680553954020054</v>
      </c>
      <c r="AI120" s="106">
        <v>13.784970975750591</v>
      </c>
      <c r="AJ120" s="106">
        <v>13.888979750173904</v>
      </c>
      <c r="AK120" s="106">
        <v>13.992570579416366</v>
      </c>
      <c r="AL120" s="106">
        <v>14.095734005270435</v>
      </c>
      <c r="AM120" s="106">
        <v>14.198460810081793</v>
      </c>
      <c r="AN120" s="106">
        <v>14.30074201744856</v>
      </c>
      <c r="AO120" s="106">
        <v>14.402568892735259</v>
      </c>
      <c r="AP120" s="106">
        <v>14.503932943404505</v>
      </c>
      <c r="AQ120" s="106">
        <v>14.604825919169469</v>
      </c>
      <c r="AR120" s="106">
        <v>14.70523981197055</v>
      </c>
      <c r="AS120" s="106">
        <v>14.805166855779827</v>
      </c>
      <c r="AT120" s="106">
        <v>14.904599526237032</v>
      </c>
      <c r="AU120" s="106">
        <v>15.003530540121002</v>
      </c>
      <c r="AV120" s="106">
        <v>15.101952854660658</v>
      </c>
      <c r="AW120" s="106">
        <v>15.199859666689839</v>
      </c>
      <c r="AX120" s="106">
        <v>15.297244411650194</v>
      </c>
      <c r="AY120" s="106">
        <v>15.394100762446877</v>
      </c>
      <c r="AZ120" s="106">
        <v>15.490422628161307</v>
      </c>
      <c r="BA120" s="106">
        <v>15.586204152625953</v>
      </c>
      <c r="BB120" s="106">
        <v>15.681439712865741</v>
      </c>
      <c r="BC120" s="106">
        <v>15.776123917410855</v>
      </c>
      <c r="BD120" s="106">
        <v>15.87025160448594</v>
      </c>
    </row>
    <row r="121" spans="10:56">
      <c r="J121" s="48"/>
      <c r="K121" s="12"/>
      <c r="L121" s="12"/>
      <c r="P121" s="49">
        <v>75</v>
      </c>
      <c r="Q121" s="106">
        <v>11.248332089571589</v>
      </c>
      <c r="R121" s="106">
        <v>11.353715933604992</v>
      </c>
      <c r="S121" s="106">
        <v>11.458928577560823</v>
      </c>
      <c r="T121" s="106">
        <v>11.563957087218053</v>
      </c>
      <c r="U121" s="106">
        <v>11.668788694470074</v>
      </c>
      <c r="V121" s="106">
        <v>11.773410801878674</v>
      </c>
      <c r="W121" s="106">
        <v>11.8778109870607</v>
      </c>
      <c r="X121" s="106">
        <v>11.981977006902927</v>
      </c>
      <c r="Y121" s="106">
        <v>12.085896801601216</v>
      </c>
      <c r="Z121" s="106">
        <v>12.189558498520366</v>
      </c>
      <c r="AA121" s="106">
        <v>12.292950415871461</v>
      </c>
      <c r="AB121" s="106">
        <v>12.396061066204201</v>
      </c>
      <c r="AC121" s="106">
        <v>12.498879159711931</v>
      </c>
      <c r="AD121" s="106">
        <v>12.601393607347505</v>
      </c>
      <c r="AE121" s="106">
        <v>12.703593523748669</v>
      </c>
      <c r="AF121" s="106">
        <v>12.80546822997198</v>
      </c>
      <c r="AG121" s="106">
        <v>12.907007256034648</v>
      </c>
      <c r="AH121" s="106">
        <v>13.008200343264095</v>
      </c>
      <c r="AI121" s="106">
        <v>13.109037446455501</v>
      </c>
      <c r="AJ121" s="106">
        <v>13.209508735837689</v>
      </c>
      <c r="AK121" s="106">
        <v>13.309604598848441</v>
      </c>
      <c r="AL121" s="106">
        <v>13.409315641720278</v>
      </c>
      <c r="AM121" s="106">
        <v>13.508632690878246</v>
      </c>
      <c r="AN121" s="106">
        <v>13.607546794151645</v>
      </c>
      <c r="AO121" s="106">
        <v>13.706049221801646</v>
      </c>
      <c r="AP121" s="106">
        <v>13.804131467367267</v>
      </c>
      <c r="AQ121" s="106">
        <v>13.901785248332287</v>
      </c>
      <c r="AR121" s="106">
        <v>13.999002506615971</v>
      </c>
      <c r="AS121" s="106">
        <v>14.095775408890663</v>
      </c>
      <c r="AT121" s="106">
        <v>14.192096346729567</v>
      </c>
      <c r="AU121" s="106">
        <v>14.287957936588178</v>
      </c>
      <c r="AV121" s="106">
        <v>14.383353019623019</v>
      </c>
      <c r="AW121" s="106">
        <v>14.478274661351449</v>
      </c>
      <c r="AX121" s="106">
        <v>14.572716151156609</v>
      </c>
      <c r="AY121" s="106">
        <v>14.666671001641475</v>
      </c>
      <c r="AZ121" s="106">
        <v>14.760132947836331</v>
      </c>
      <c r="BA121" s="106">
        <v>14.853095946263887</v>
      </c>
      <c r="BB121" s="106">
        <v>14.945554173866526</v>
      </c>
      <c r="BC121" s="106">
        <v>15.037502026800086</v>
      </c>
      <c r="BD121" s="106">
        <v>15.128934119098838</v>
      </c>
    </row>
    <row r="122" spans="10:56">
      <c r="J122" s="48"/>
      <c r="K122" s="12"/>
      <c r="L122" s="12"/>
      <c r="P122" s="49">
        <v>76</v>
      </c>
      <c r="Q122" s="106">
        <v>10.663269929434845</v>
      </c>
      <c r="R122" s="106">
        <v>10.764159229798128</v>
      </c>
      <c r="S122" s="106">
        <v>10.864914285936401</v>
      </c>
      <c r="T122" s="106">
        <v>10.965522732672401</v>
      </c>
      <c r="U122" s="106">
        <v>11.06597234197695</v>
      </c>
      <c r="V122" s="106">
        <v>11.166251027881636</v>
      </c>
      <c r="W122" s="106">
        <v>11.266346851236737</v>
      </c>
      <c r="X122" s="106">
        <v>11.366248024309263</v>
      </c>
      <c r="Y122" s="106">
        <v>11.465942915216317</v>
      </c>
      <c r="Z122" s="106">
        <v>11.565420052189653</v>
      </c>
      <c r="AA122" s="106">
        <v>11.664668127667644</v>
      </c>
      <c r="AB122" s="106">
        <v>11.763676002211362</v>
      </c>
      <c r="AC122" s="106">
        <v>11.862432708241965</v>
      </c>
      <c r="AD122" s="106">
        <v>11.960927453596957</v>
      </c>
      <c r="AE122" s="106">
        <v>12.059149624903327</v>
      </c>
      <c r="AF122" s="106">
        <v>12.157088790766055</v>
      </c>
      <c r="AG122" s="106">
        <v>12.254734704770815</v>
      </c>
      <c r="AH122" s="106">
        <v>12.352077308300094</v>
      </c>
      <c r="AI122" s="106">
        <v>12.449106733162402</v>
      </c>
      <c r="AJ122" s="106">
        <v>12.545813304034517</v>
      </c>
      <c r="AK122" s="106">
        <v>12.642187540717147</v>
      </c>
      <c r="AL122" s="106">
        <v>12.738220160204667</v>
      </c>
      <c r="AM122" s="106">
        <v>12.833902078569951</v>
      </c>
      <c r="AN122" s="106">
        <v>12.929224412665572</v>
      </c>
      <c r="AO122" s="106">
        <v>13.02417848164311</v>
      </c>
      <c r="AP122" s="106">
        <v>13.118755808292251</v>
      </c>
      <c r="AQ122" s="106">
        <v>13.212948120201993</v>
      </c>
      <c r="AR122" s="106">
        <v>13.306747350746296</v>
      </c>
      <c r="AS122" s="106">
        <v>13.400145639896788</v>
      </c>
      <c r="AT122" s="106">
        <v>13.493135334865389</v>
      </c>
      <c r="AU122" s="106">
        <v>13.585708990579917</v>
      </c>
      <c r="AV122" s="106">
        <v>13.677859369995872</v>
      </c>
      <c r="AW122" s="106">
        <v>13.769579444247839</v>
      </c>
      <c r="AX122" s="106">
        <v>13.860862392644027</v>
      </c>
      <c r="AY122" s="106">
        <v>13.951701602507711</v>
      </c>
      <c r="AZ122" s="106">
        <v>14.042090668869394</v>
      </c>
      <c r="BA122" s="106">
        <v>14.132023394013565</v>
      </c>
      <c r="BB122" s="106">
        <v>14.221493786884304</v>
      </c>
      <c r="BC122" s="106">
        <v>14.310496062353604</v>
      </c>
      <c r="BD122" s="106">
        <v>14.399024640356943</v>
      </c>
    </row>
    <row r="123" spans="10:56">
      <c r="J123" s="48"/>
      <c r="K123" s="12"/>
      <c r="L123" s="12"/>
      <c r="P123" s="49">
        <v>77</v>
      </c>
      <c r="Q123" s="106">
        <v>10.094613067949556</v>
      </c>
      <c r="R123" s="106">
        <v>10.190820552363629</v>
      </c>
      <c r="S123" s="106">
        <v>10.286930687778295</v>
      </c>
      <c r="T123" s="106">
        <v>10.382931699350717</v>
      </c>
      <c r="U123" s="106">
        <v>10.478811921146647</v>
      </c>
      <c r="V123" s="106">
        <v>10.574559801384426</v>
      </c>
      <c r="W123" s="106">
        <v>10.670163907534016</v>
      </c>
      <c r="X123" s="106">
        <v>10.765612931265521</v>
      </c>
      <c r="Y123" s="106">
        <v>10.86089569324208</v>
      </c>
      <c r="Z123" s="106">
        <v>10.956001147752652</v>
      </c>
      <c r="AA123" s="106">
        <v>11.050918387180447</v>
      </c>
      <c r="AB123" s="106">
        <v>11.145636646303455</v>
      </c>
      <c r="AC123" s="106">
        <v>11.240145306423775</v>
      </c>
      <c r="AD123" s="106">
        <v>11.334433899323049</v>
      </c>
      <c r="AE123" s="106">
        <v>11.428492111041489</v>
      </c>
      <c r="AF123" s="106">
        <v>11.522309785478782</v>
      </c>
      <c r="AG123" s="106">
        <v>11.615876927815135</v>
      </c>
      <c r="AH123" s="106">
        <v>11.709183707751453</v>
      </c>
      <c r="AI123" s="106">
        <v>11.802220462567798</v>
      </c>
      <c r="AJ123" s="106">
        <v>11.894977699999799</v>
      </c>
      <c r="AK123" s="106">
        <v>11.987446100932905</v>
      </c>
      <c r="AL123" s="106">
        <v>12.07961652191482</v>
      </c>
      <c r="AM123" s="106">
        <v>12.171479997486678</v>
      </c>
      <c r="AN123" s="106">
        <v>12.263027742333895</v>
      </c>
      <c r="AO123" s="106">
        <v>12.35425115325795</v>
      </c>
      <c r="AP123" s="106">
        <v>12.445141810970515</v>
      </c>
      <c r="AQ123" s="106">
        <v>12.535691481711705</v>
      </c>
      <c r="AR123" s="106">
        <v>12.625892118694509</v>
      </c>
      <c r="AS123" s="106">
        <v>12.715735863377542</v>
      </c>
      <c r="AT123" s="106">
        <v>12.80521504656862</v>
      </c>
      <c r="AU123" s="106">
        <v>12.89432218936189</v>
      </c>
      <c r="AV123" s="106">
        <v>12.98305000391119</v>
      </c>
      <c r="AW123" s="106">
        <v>13.071391394042877</v>
      </c>
      <c r="AX123" s="106">
        <v>13.159339455711113</v>
      </c>
      <c r="AY123" s="106">
        <v>13.246887477299142</v>
      </c>
      <c r="AZ123" s="106">
        <v>13.334028939769921</v>
      </c>
      <c r="BA123" s="106">
        <v>13.420757516669706</v>
      </c>
      <c r="BB123" s="106">
        <v>13.50706707398839</v>
      </c>
      <c r="BC123" s="106">
        <v>13.592951669880337</v>
      </c>
      <c r="BD123" s="106">
        <v>13.678405554249663</v>
      </c>
    </row>
    <row r="124" spans="10:56">
      <c r="J124" s="48"/>
      <c r="K124" s="12"/>
      <c r="L124" s="12"/>
      <c r="P124" s="49">
        <v>78</v>
      </c>
      <c r="Q124" s="106">
        <v>9.5452587668686846</v>
      </c>
      <c r="R124" s="106">
        <v>9.6365555404326724</v>
      </c>
      <c r="S124" s="106">
        <v>9.7277926845887794</v>
      </c>
      <c r="T124" s="106">
        <v>9.8189590049197406</v>
      </c>
      <c r="U124" s="106">
        <v>9.910043389543187</v>
      </c>
      <c r="V124" s="106">
        <v>10.001034814627227</v>
      </c>
      <c r="W124" s="106">
        <v>10.09192234976852</v>
      </c>
      <c r="X124" s="106">
        <v>10.182695163227317</v>
      </c>
      <c r="Y124" s="106">
        <v>10.273342527014375</v>
      </c>
      <c r="Z124" s="106">
        <v>10.36385382182509</v>
      </c>
      <c r="AA124" s="106">
        <v>10.45421854181658</v>
      </c>
      <c r="AB124" s="106">
        <v>10.544426299224073</v>
      </c>
      <c r="AC124" s="106">
        <v>10.634466828813137</v>
      </c>
      <c r="AD124" s="106">
        <v>10.724329992164929</v>
      </c>
      <c r="AE124" s="106">
        <v>10.814005781791833</v>
      </c>
      <c r="AF124" s="106">
        <v>10.903484325081539</v>
      </c>
      <c r="AG124" s="106">
        <v>10.992755888067613</v>
      </c>
      <c r="AH124" s="106">
        <v>11.081810879025426</v>
      </c>
      <c r="AI124" s="106">
        <v>11.170639851892272</v>
      </c>
      <c r="AJ124" s="106">
        <v>11.259233509511095</v>
      </c>
      <c r="AK124" s="106">
        <v>11.347582706697555</v>
      </c>
      <c r="AL124" s="106">
        <v>11.435678453130382</v>
      </c>
      <c r="AM124" s="106">
        <v>11.523511916065315</v>
      </c>
      <c r="AN124" s="106">
        <v>11.611074422873337</v>
      </c>
      <c r="AO124" s="106">
        <v>11.69835746340407</v>
      </c>
      <c r="AP124" s="106">
        <v>11.785352692175415</v>
      </c>
      <c r="AQ124" s="106">
        <v>11.872051930391017</v>
      </c>
      <c r="AR124" s="106">
        <v>11.95844716778703</v>
      </c>
      <c r="AS124" s="106">
        <v>12.044530564310328</v>
      </c>
      <c r="AT124" s="106">
        <v>12.130294451629942</v>
      </c>
      <c r="AU124" s="106">
        <v>12.215731334484422</v>
      </c>
      <c r="AV124" s="106">
        <v>12.300833891867267</v>
      </c>
      <c r="AW124" s="106">
        <v>12.385594978053337</v>
      </c>
      <c r="AX124" s="106">
        <v>12.47000762346898</v>
      </c>
      <c r="AY124" s="106">
        <v>12.554065035408929</v>
      </c>
      <c r="AZ124" s="106">
        <v>12.637760598602993</v>
      </c>
      <c r="BA124" s="106">
        <v>12.721087875635979</v>
      </c>
      <c r="BB124" s="106">
        <v>12.804040607224023</v>
      </c>
      <c r="BC124" s="106">
        <v>12.886612712350926</v>
      </c>
      <c r="BD124" s="106">
        <v>12.968798288268067</v>
      </c>
    </row>
    <row r="125" spans="10:56">
      <c r="J125" s="48"/>
      <c r="K125" s="12"/>
      <c r="L125" s="12"/>
      <c r="P125" s="49">
        <v>79</v>
      </c>
      <c r="Q125" s="106">
        <v>9.0100374112068913</v>
      </c>
      <c r="R125" s="106">
        <v>9.0963456333656936</v>
      </c>
      <c r="S125" s="106">
        <v>9.1826305290924068</v>
      </c>
      <c r="T125" s="106">
        <v>9.2688814625525282</v>
      </c>
      <c r="U125" s="106">
        <v>9.3550878577910641</v>
      </c>
      <c r="V125" s="106">
        <v>9.4412392044006772</v>
      </c>
      <c r="W125" s="106">
        <v>9.527325063058699</v>
      </c>
      <c r="X125" s="106">
        <v>9.6133350709277359</v>
      </c>
      <c r="Y125" s="106">
        <v>9.6992589469150232</v>
      </c>
      <c r="Z125" s="106">
        <v>9.7850864967860929</v>
      </c>
      <c r="AA125" s="106">
        <v>9.8708076181287154</v>
      </c>
      <c r="AB125" s="106">
        <v>9.9564123051635676</v>
      </c>
      <c r="AC125" s="106">
        <v>10.041890653398305</v>
      </c>
      <c r="AD125" s="106">
        <v>10.127232864122258</v>
      </c>
      <c r="AE125" s="106">
        <v>10.212429248739221</v>
      </c>
      <c r="AF125" s="106">
        <v>10.297470232936327</v>
      </c>
      <c r="AG125" s="106">
        <v>10.382346360687079</v>
      </c>
      <c r="AH125" s="106">
        <v>10.467048298087324</v>
      </c>
      <c r="AI125" s="106">
        <v>10.551566837022962</v>
      </c>
      <c r="AJ125" s="106">
        <v>10.635892898668619</v>
      </c>
      <c r="AK125" s="106">
        <v>10.720017536816934</v>
      </c>
      <c r="AL125" s="106">
        <v>10.803931941038222</v>
      </c>
      <c r="AM125" s="106">
        <v>10.887627439670672</v>
      </c>
      <c r="AN125" s="106">
        <v>10.971095502641486</v>
      </c>
      <c r="AO125" s="106">
        <v>11.054327744119636</v>
      </c>
      <c r="AP125" s="106">
        <v>11.137315925001172</v>
      </c>
      <c r="AQ125" s="106">
        <v>11.220051955228215</v>
      </c>
      <c r="AR125" s="106">
        <v>11.302527895943021</v>
      </c>
      <c r="AS125" s="106">
        <v>11.384735961478754</v>
      </c>
      <c r="AT125" s="106">
        <v>11.466668521188726</v>
      </c>
      <c r="AU125" s="106">
        <v>11.548318101116175</v>
      </c>
      <c r="AV125" s="106">
        <v>11.629677385506657</v>
      </c>
      <c r="AW125" s="106">
        <v>11.710739218165466</v>
      </c>
      <c r="AX125" s="106">
        <v>11.791496603662601</v>
      </c>
      <c r="AY125" s="106">
        <v>11.871942708387824</v>
      </c>
      <c r="AZ125" s="106">
        <v>11.952070861458758</v>
      </c>
      <c r="BA125" s="106">
        <v>12.031874555484775</v>
      </c>
      <c r="BB125" s="106">
        <v>12.111347447189791</v>
      </c>
      <c r="BC125" s="106">
        <v>12.190483357897048</v>
      </c>
      <c r="BD125" s="106">
        <v>12.269276273879171</v>
      </c>
    </row>
    <row r="126" spans="10:56">
      <c r="J126" s="48"/>
      <c r="K126" s="12"/>
      <c r="L126" s="12"/>
      <c r="P126" s="49">
        <v>80</v>
      </c>
      <c r="Q126" s="106">
        <v>8.5002712740112223</v>
      </c>
      <c r="R126" s="106">
        <v>8.5814601715692902</v>
      </c>
      <c r="S126" s="106">
        <v>8.6626599081968241</v>
      </c>
      <c r="T126" s="106">
        <v>8.7438603846272756</v>
      </c>
      <c r="U126" s="106">
        <v>8.8250515438401447</v>
      </c>
      <c r="V126" s="106">
        <v>8.9062233767002148</v>
      </c>
      <c r="W126" s="106">
        <v>8.9873659274729221</v>
      </c>
      <c r="X126" s="106">
        <v>9.0684692992111149</v>
      </c>
      <c r="Y126" s="106">
        <v>9.149523659008814</v>
      </c>
      <c r="Z126" s="106">
        <v>9.2305192431180156</v>
      </c>
      <c r="AA126" s="106">
        <v>9.3114463619248564</v>
      </c>
      <c r="AB126" s="106">
        <v>9.3922954047819225</v>
      </c>
      <c r="AC126" s="106">
        <v>9.4730568446936658</v>
      </c>
      <c r="AD126" s="106">
        <v>9.5537212428523599</v>
      </c>
      <c r="AE126" s="106">
        <v>9.6342792530223456</v>
      </c>
      <c r="AF126" s="106">
        <v>9.7147216257704549</v>
      </c>
      <c r="AG126" s="106">
        <v>9.7950392125411572</v>
      </c>
      <c r="AH126" s="106">
        <v>9.8752229695749172</v>
      </c>
      <c r="AI126" s="106">
        <v>9.9552639616686864</v>
      </c>
      <c r="AJ126" s="106">
        <v>10.035153365777914</v>
      </c>
      <c r="AK126" s="106">
        <v>10.114882474459385</v>
      </c>
      <c r="AL126" s="106">
        <v>10.194442699154729</v>
      </c>
      <c r="AM126" s="106">
        <v>10.273825573314591</v>
      </c>
      <c r="AN126" s="106">
        <v>10.353022755363751</v>
      </c>
      <c r="AO126" s="106">
        <v>10.432026031507618</v>
      </c>
      <c r="AP126" s="106">
        <v>10.510827318380878</v>
      </c>
      <c r="AQ126" s="106">
        <v>10.589418665539206</v>
      </c>
      <c r="AR126" s="106">
        <v>10.667792257795149</v>
      </c>
      <c r="AS126" s="106">
        <v>10.745940417399558</v>
      </c>
      <c r="AT126" s="106">
        <v>10.823855606070028</v>
      </c>
      <c r="AU126" s="106">
        <v>10.901530426868124</v>
      </c>
      <c r="AV126" s="106">
        <v>10.97895762592716</v>
      </c>
      <c r="AW126" s="106">
        <v>11.056130094032595</v>
      </c>
      <c r="AX126" s="106">
        <v>11.133040868057162</v>
      </c>
      <c r="AY126" s="106">
        <v>11.209683132253097</v>
      </c>
      <c r="AZ126" s="106">
        <v>11.286050219403819</v>
      </c>
      <c r="BA126" s="106">
        <v>11.362135611837644</v>
      </c>
      <c r="BB126" s="106">
        <v>11.437932942306134</v>
      </c>
      <c r="BC126" s="106">
        <v>11.513435994729907</v>
      </c>
      <c r="BD126" s="106">
        <v>11.588638704814691</v>
      </c>
    </row>
    <row r="127" spans="10:56">
      <c r="J127" s="48"/>
      <c r="K127" s="12"/>
      <c r="L127" s="12"/>
      <c r="O127" s="4" t="s">
        <v>50</v>
      </c>
      <c r="P127" s="4" t="s">
        <v>52</v>
      </c>
      <c r="Q127" s="4">
        <v>2012</v>
      </c>
      <c r="R127" s="4">
        <v>2013</v>
      </c>
      <c r="S127" s="4">
        <v>2014</v>
      </c>
      <c r="T127" s="4">
        <v>2015</v>
      </c>
      <c r="U127" s="4">
        <v>2016</v>
      </c>
      <c r="V127" s="4">
        <v>2017</v>
      </c>
      <c r="W127" s="4">
        <v>2018</v>
      </c>
      <c r="X127" s="4">
        <v>2019</v>
      </c>
      <c r="Y127" s="4">
        <v>2020</v>
      </c>
      <c r="Z127" s="4">
        <v>2021</v>
      </c>
      <c r="AA127" s="4">
        <v>2022</v>
      </c>
      <c r="AB127" s="4">
        <v>2023</v>
      </c>
      <c r="AC127" s="4">
        <v>2024</v>
      </c>
      <c r="AD127" s="4">
        <v>2025</v>
      </c>
      <c r="AE127" s="4">
        <v>2026</v>
      </c>
      <c r="AF127" s="4">
        <v>2027</v>
      </c>
      <c r="AG127" s="4">
        <v>2028</v>
      </c>
      <c r="AH127" s="4">
        <v>2029</v>
      </c>
      <c r="AI127" s="4">
        <v>2030</v>
      </c>
      <c r="AJ127" s="4">
        <v>2031</v>
      </c>
      <c r="AK127" s="4">
        <v>2032</v>
      </c>
      <c r="AL127" s="4">
        <v>2033</v>
      </c>
      <c r="AM127" s="4">
        <v>2034</v>
      </c>
      <c r="AN127" s="4">
        <v>2035</v>
      </c>
      <c r="AO127" s="4">
        <v>2036</v>
      </c>
      <c r="AP127" s="4">
        <v>2037</v>
      </c>
      <c r="AQ127" s="4">
        <v>2038</v>
      </c>
      <c r="AR127" s="4">
        <v>2039</v>
      </c>
      <c r="AS127" s="4">
        <v>2040</v>
      </c>
      <c r="AT127" s="4">
        <v>2041</v>
      </c>
      <c r="AU127" s="4">
        <v>2042</v>
      </c>
      <c r="AV127" s="4">
        <v>2043</v>
      </c>
      <c r="AW127" s="4">
        <v>2044</v>
      </c>
      <c r="AX127" s="4">
        <v>2045</v>
      </c>
      <c r="AY127" s="4">
        <v>2046</v>
      </c>
      <c r="AZ127" s="4">
        <v>2047</v>
      </c>
      <c r="BA127" s="4">
        <v>2048</v>
      </c>
      <c r="BB127" s="4">
        <v>2049</v>
      </c>
      <c r="BC127" s="4">
        <v>2050</v>
      </c>
      <c r="BD127" s="4">
        <v>2051</v>
      </c>
    </row>
    <row r="128" spans="10:56">
      <c r="J128" s="48"/>
      <c r="K128" s="12"/>
      <c r="L128" s="12"/>
      <c r="P128" s="49">
        <v>61</v>
      </c>
      <c r="Q128" s="106">
        <v>24.453537554454869</v>
      </c>
      <c r="R128" s="106">
        <v>24.587029255674903</v>
      </c>
      <c r="S128" s="106">
        <v>24.719500432187345</v>
      </c>
      <c r="T128" s="106">
        <v>24.850940295979399</v>
      </c>
      <c r="U128" s="106">
        <v>24.981338763752635</v>
      </c>
      <c r="V128" s="106">
        <v>25.110686447860104</v>
      </c>
      <c r="W128" s="106">
        <v>25.23897464655321</v>
      </c>
      <c r="X128" s="106">
        <v>25.36619533358726</v>
      </c>
      <c r="Y128" s="106">
        <v>25.492341147233738</v>
      </c>
      <c r="Z128" s="106">
        <v>25.617405378746685</v>
      </c>
      <c r="AA128" s="106">
        <v>25.741381960329701</v>
      </c>
      <c r="AB128" s="106">
        <v>25.864265452648919</v>
      </c>
      <c r="AC128" s="106">
        <v>25.986051031936309</v>
      </c>
      <c r="AD128" s="106">
        <v>26.106734476726245</v>
      </c>
      <c r="AE128" s="106">
        <v>26.226312154267347</v>
      </c>
      <c r="AF128" s="106">
        <v>26.344781006649789</v>
      </c>
      <c r="AG128" s="106">
        <v>26.462138536687199</v>
      </c>
      <c r="AH128" s="106">
        <v>26.578382793590741</v>
      </c>
      <c r="AI128" s="106">
        <v>26.693512358471274</v>
      </c>
      <c r="AJ128" s="106">
        <v>26.807526329704348</v>
      </c>
      <c r="AK128" s="106">
        <v>26.920424308190835</v>
      </c>
      <c r="AL128" s="106">
        <v>27.032206382544903</v>
      </c>
      <c r="AM128" s="106">
        <v>27.142873114239055</v>
      </c>
      <c r="AN128" s="106">
        <v>27.252425522734722</v>
      </c>
      <c r="AO128" s="106">
        <v>27.360865070625156</v>
      </c>
      <c r="AP128" s="106">
        <v>27.468193648816278</v>
      </c>
      <c r="AQ128" s="106">
        <v>27.574413561768775</v>
      </c>
      <c r="AR128" s="106">
        <v>27.679527512824386</v>
      </c>
      <c r="AS128" s="106">
        <v>27.783538589636951</v>
      </c>
      <c r="AT128" s="106">
        <v>27.886450249727844</v>
      </c>
      <c r="AU128" s="106">
        <v>27.988266306183888</v>
      </c>
      <c r="AV128" s="106">
        <v>28.088990913514696</v>
      </c>
      <c r="AW128" s="106">
        <v>28.188628553684683</v>
      </c>
      <c r="AX128" s="106">
        <v>28.287184022334138</v>
      </c>
      <c r="AY128" s="106">
        <v>28.384662415202474</v>
      </c>
      <c r="AZ128" s="106">
        <v>28.481069114765205</v>
      </c>
      <c r="BA128" s="106">
        <v>28.576409777095517</v>
      </c>
      <c r="BB128" s="106">
        <v>28.670690318960293</v>
      </c>
      <c r="BC128" s="106">
        <v>28.763916905158641</v>
      </c>
      <c r="BD128" s="106">
        <v>28.856095936110915</v>
      </c>
    </row>
    <row r="129" spans="10:56">
      <c r="J129" s="48"/>
      <c r="K129" s="12"/>
      <c r="L129" s="12"/>
      <c r="P129" s="49">
        <v>62</v>
      </c>
      <c r="Q129" s="106">
        <v>23.665903155109554</v>
      </c>
      <c r="R129" s="106">
        <v>23.799408983074994</v>
      </c>
      <c r="S129" s="106">
        <v>23.931887536405483</v>
      </c>
      <c r="T129" s="106">
        <v>24.063328127355618</v>
      </c>
      <c r="U129" s="106">
        <v>24.193720775587856</v>
      </c>
      <c r="V129" s="106">
        <v>24.323056198923744</v>
      </c>
      <c r="W129" s="106">
        <v>24.451325803407077</v>
      </c>
      <c r="X129" s="106">
        <v>24.578521672728129</v>
      </c>
      <c r="Y129" s="106">
        <v>24.704636557057444</v>
      </c>
      <c r="Z129" s="106">
        <v>24.829663861336922</v>
      </c>
      <c r="AA129" s="106">
        <v>24.953597633074761</v>
      </c>
      <c r="AB129" s="106">
        <v>25.076432549690018</v>
      </c>
      <c r="AC129" s="106">
        <v>25.198163905451239</v>
      </c>
      <c r="AD129" s="106">
        <v>25.318787598052459</v>
      </c>
      <c r="AE129" s="106">
        <v>25.438300114868461</v>
      </c>
      <c r="AF129" s="106">
        <v>25.556698518929831</v>
      </c>
      <c r="AG129" s="106">
        <v>25.673980434657231</v>
      </c>
      <c r="AH129" s="106">
        <v>25.79014403339206</v>
      </c>
      <c r="AI129" s="106">
        <v>25.905188018760029</v>
      </c>
      <c r="AJ129" s="106">
        <v>26.019111611902176</v>
      </c>
      <c r="AK129" s="106">
        <v>26.131914536606423</v>
      </c>
      <c r="AL129" s="106">
        <v>26.243597004370848</v>
      </c>
      <c r="AM129" s="106">
        <v>26.354159699429303</v>
      </c>
      <c r="AN129" s="106">
        <v>26.463603763767189</v>
      </c>
      <c r="AO129" s="106">
        <v>26.571930782154229</v>
      </c>
      <c r="AP129" s="106">
        <v>26.679142767220174</v>
      </c>
      <c r="AQ129" s="106">
        <v>26.785242144596438</v>
      </c>
      <c r="AR129" s="106">
        <v>26.890231738146721</v>
      </c>
      <c r="AS129" s="106">
        <v>26.994114755306938</v>
      </c>
      <c r="AT129" s="106">
        <v>27.09689477255429</v>
      </c>
      <c r="AU129" s="106">
        <v>27.198575721023367</v>
      </c>
      <c r="AV129" s="106">
        <v>27.299161872286067</v>
      </c>
      <c r="AW129" s="106">
        <v>27.398657824310693</v>
      </c>
      <c r="AX129" s="106">
        <v>27.497068487614442</v>
      </c>
      <c r="AY129" s="106">
        <v>27.594399071622135</v>
      </c>
      <c r="AZ129" s="106">
        <v>27.690655071243164</v>
      </c>
      <c r="BA129" s="106">
        <v>27.785842253676677</v>
      </c>
      <c r="BB129" s="106">
        <v>27.879966645455383</v>
      </c>
      <c r="BC129" s="106">
        <v>27.973034519735702</v>
      </c>
      <c r="BD129" s="106">
        <v>28.065052383842072</v>
      </c>
    </row>
    <row r="130" spans="10:56">
      <c r="J130" s="48"/>
      <c r="P130" s="49">
        <v>63</v>
      </c>
      <c r="Q130" s="106">
        <v>22.875564995808659</v>
      </c>
      <c r="R130" s="106">
        <v>23.008928370833395</v>
      </c>
      <c r="S130" s="106">
        <v>23.141259753020272</v>
      </c>
      <c r="T130" s="106">
        <v>23.272548574795444</v>
      </c>
      <c r="U130" s="106">
        <v>23.402784977275697</v>
      </c>
      <c r="V130" s="106">
        <v>23.531959800842774</v>
      </c>
      <c r="W130" s="106">
        <v>23.660064575033793</v>
      </c>
      <c r="X130" s="106">
        <v>23.787091507796923</v>
      </c>
      <c r="Y130" s="106">
        <v>23.913033474161097</v>
      </c>
      <c r="Z130" s="106">
        <v>24.037884004367683</v>
      </c>
      <c r="AA130" s="106">
        <v>24.161637271510866</v>
      </c>
      <c r="AB130" s="106">
        <v>24.284288078732565</v>
      </c>
      <c r="AC130" s="106">
        <v>24.405831846016607</v>
      </c>
      <c r="AD130" s="106">
        <v>24.526264596625381</v>
      </c>
      <c r="AE130" s="106">
        <v>24.645582943221086</v>
      </c>
      <c r="AF130" s="106">
        <v>24.763784073712188</v>
      </c>
      <c r="AG130" s="106">
        <v>24.880865736864209</v>
      </c>
      <c r="AH130" s="106">
        <v>24.99682622771261</v>
      </c>
      <c r="AI130" s="106">
        <v>25.11166437281388</v>
      </c>
      <c r="AJ130" s="106">
        <v>25.22537951536944</v>
      </c>
      <c r="AK130" s="106">
        <v>25.337971500255357</v>
      </c>
      <c r="AL130" s="106">
        <v>25.449440658989506</v>
      </c>
      <c r="AM130" s="106">
        <v>25.559787794665858</v>
      </c>
      <c r="AN130" s="106">
        <v>25.669014166884384</v>
      </c>
      <c r="AO130" s="106">
        <v>25.777121476703307</v>
      </c>
      <c r="AP130" s="106">
        <v>25.884111851638906</v>
      </c>
      <c r="AQ130" s="106">
        <v>25.989987830736734</v>
      </c>
      <c r="AR130" s="106">
        <v>26.094752349736211</v>
      </c>
      <c r="AS130" s="106">
        <v>26.198408726349683</v>
      </c>
      <c r="AT130" s="106">
        <v>26.300960645675051</v>
      </c>
      <c r="AU130" s="106">
        <v>26.402412145760099</v>
      </c>
      <c r="AV130" s="106">
        <v>26.502767603334963</v>
      </c>
      <c r="AW130" s="106">
        <v>26.602031719728188</v>
      </c>
      <c r="AX130" s="106">
        <v>26.700209506980215</v>
      </c>
      <c r="AY130" s="106">
        <v>26.797306274167266</v>
      </c>
      <c r="AZ130" s="106">
        <v>26.893327613947104</v>
      </c>
      <c r="BA130" s="106">
        <v>26.988279389337226</v>
      </c>
      <c r="BB130" s="106">
        <v>27.082167720734827</v>
      </c>
      <c r="BC130" s="106">
        <v>27.174998973186902</v>
      </c>
      <c r="BD130" s="106">
        <v>27.266779743917699</v>
      </c>
    </row>
    <row r="131" spans="10:56">
      <c r="J131" s="48"/>
      <c r="P131" s="49">
        <v>64</v>
      </c>
      <c r="Q131" s="106">
        <v>22.086673439686535</v>
      </c>
      <c r="R131" s="106">
        <v>22.219648414820352</v>
      </c>
      <c r="S131" s="106">
        <v>22.351590302641856</v>
      </c>
      <c r="T131" s="106">
        <v>22.482488669675661</v>
      </c>
      <c r="U131" s="106">
        <v>22.612333790256983</v>
      </c>
      <c r="V131" s="106">
        <v>22.741116636960172</v>
      </c>
      <c r="W131" s="106">
        <v>22.868828870349358</v>
      </c>
      <c r="X131" s="106">
        <v>22.995462828100909</v>
      </c>
      <c r="Y131" s="106">
        <v>23.121011513546478</v>
      </c>
      <c r="Z131" s="106">
        <v>23.245468583684477</v>
      </c>
      <c r="AA131" s="106">
        <v>23.368828336706912</v>
      </c>
      <c r="AB131" s="106">
        <v>23.491085699087314</v>
      </c>
      <c r="AC131" s="106">
        <v>23.612236212274436</v>
      </c>
      <c r="AD131" s="106">
        <v>23.732276019035019</v>
      </c>
      <c r="AE131" s="106">
        <v>23.851201849487541</v>
      </c>
      <c r="AF131" s="106">
        <v>23.969011006867639</v>
      </c>
      <c r="AG131" s="106">
        <v>24.085701353064096</v>
      </c>
      <c r="AH131" s="106">
        <v>24.201271293963156</v>
      </c>
      <c r="AI131" s="106">
        <v>24.315719764637016</v>
      </c>
      <c r="AJ131" s="106">
        <v>24.429046214411184</v>
      </c>
      <c r="AK131" s="106">
        <v>24.541250591843422</v>
      </c>
      <c r="AL131" s="106">
        <v>24.6523333296457</v>
      </c>
      <c r="AM131" s="106">
        <v>24.762295329578805</v>
      </c>
      <c r="AN131" s="106">
        <v>24.871137947347993</v>
      </c>
      <c r="AO131" s="106">
        <v>24.978862977525985</v>
      </c>
      <c r="AP131" s="106">
        <v>25.085472638528554</v>
      </c>
      <c r="AQ131" s="106">
        <v>25.190969557666332</v>
      </c>
      <c r="AR131" s="106">
        <v>25.295356756294634</v>
      </c>
      <c r="AS131" s="106">
        <v>25.398637635082082</v>
      </c>
      <c r="AT131" s="106">
        <v>25.500815959417153</v>
      </c>
      <c r="AU131" s="106">
        <v>25.601895844970368</v>
      </c>
      <c r="AV131" s="106">
        <v>25.701881743428618</v>
      </c>
      <c r="AW131" s="106">
        <v>25.800778428416596</v>
      </c>
      <c r="AX131" s="106">
        <v>25.898590981619307</v>
      </c>
      <c r="AY131" s="106">
        <v>25.995324779118228</v>
      </c>
      <c r="AZ131" s="106">
        <v>26.090985477952422</v>
      </c>
      <c r="BA131" s="106">
        <v>26.185579002915141</v>
      </c>
      <c r="BB131" s="106">
        <v>26.279111533594875</v>
      </c>
      <c r="BC131" s="106">
        <v>26.371589491669194</v>
      </c>
      <c r="BD131" s="106">
        <v>26.463019528458371</v>
      </c>
    </row>
    <row r="132" spans="10:56">
      <c r="J132" s="48"/>
      <c r="P132" s="49">
        <v>65</v>
      </c>
      <c r="Q132" s="106">
        <v>21.295452393254404</v>
      </c>
      <c r="R132" s="106">
        <v>21.427825016167827</v>
      </c>
      <c r="S132" s="106">
        <v>21.559167897227685</v>
      </c>
      <c r="T132" s="106">
        <v>21.689470721435338</v>
      </c>
      <c r="U132" s="106">
        <v>21.818723878528569</v>
      </c>
      <c r="V132" s="106">
        <v>21.94691845332888</v>
      </c>
      <c r="W132" s="106">
        <v>22.074046215418591</v>
      </c>
      <c r="X132" s="106">
        <v>22.200099608197331</v>
      </c>
      <c r="Y132" s="106">
        <v>22.325071737366493</v>
      </c>
      <c r="Z132" s="106">
        <v>22.448956358889475</v>
      </c>
      <c r="AA132" s="106">
        <v>22.571747866474347</v>
      </c>
      <c r="AB132" s="106">
        <v>22.693441278624796</v>
      </c>
      <c r="AC132" s="106">
        <v>22.814032225303571</v>
      </c>
      <c r="AD132" s="106">
        <v>22.933516934251696</v>
      </c>
      <c r="AE132" s="106">
        <v>23.051892217005104</v>
      </c>
      <c r="AF132" s="106">
        <v>23.169155454649236</v>
      </c>
      <c r="AG132" s="106">
        <v>23.285304583350147</v>
      </c>
      <c r="AH132" s="106">
        <v>23.400338079699829</v>
      </c>
      <c r="AI132" s="106">
        <v>23.514254945911276</v>
      </c>
      <c r="AJ132" s="106">
        <v>23.627054694897605</v>
      </c>
      <c r="AK132" s="106">
        <v>23.738737335268013</v>
      </c>
      <c r="AL132" s="106">
        <v>23.849303356271534</v>
      </c>
      <c r="AM132" s="106">
        <v>23.958753712717964</v>
      </c>
      <c r="AN132" s="106">
        <v>24.067089809904257</v>
      </c>
      <c r="AO132" s="106">
        <v>24.174313488572249</v>
      </c>
      <c r="AP132" s="106">
        <v>24.280427009923002</v>
      </c>
      <c r="AQ132" s="106">
        <v>24.385433040710762</v>
      </c>
      <c r="AR132" s="106">
        <v>24.489334638438393</v>
      </c>
      <c r="AS132" s="106">
        <v>24.592135236674789</v>
      </c>
      <c r="AT132" s="106">
        <v>24.693838630512957</v>
      </c>
      <c r="AU132" s="106">
        <v>24.794448962186515</v>
      </c>
      <c r="AV132" s="106">
        <v>24.893970706860692</v>
      </c>
      <c r="AW132" s="106">
        <v>24.992408658612728</v>
      </c>
      <c r="AX132" s="106">
        <v>25.08976791661529</v>
      </c>
      <c r="AY132" s="106">
        <v>25.186053871535325</v>
      </c>
      <c r="AZ132" s="106">
        <v>25.281272192159566</v>
      </c>
      <c r="BA132" s="106">
        <v>25.375428812256828</v>
      </c>
      <c r="BB132" s="106">
        <v>25.46852991768603</v>
      </c>
      <c r="BC132" s="106">
        <v>25.560581933758066</v>
      </c>
      <c r="BD132" s="106">
        <v>25.651591512858303</v>
      </c>
    </row>
    <row r="133" spans="10:56">
      <c r="J133" s="48"/>
      <c r="P133" s="49">
        <v>66</v>
      </c>
      <c r="Q133" s="106">
        <v>20.505930751291483</v>
      </c>
      <c r="R133" s="106">
        <v>20.637411480947982</v>
      </c>
      <c r="S133" s="106">
        <v>20.767872043337896</v>
      </c>
      <c r="T133" s="106">
        <v>20.897302198768433</v>
      </c>
      <c r="U133" s="106">
        <v>21.025692406681181</v>
      </c>
      <c r="V133" s="106">
        <v>21.153033816019839</v>
      </c>
      <c r="W133" s="106">
        <v>21.279318254936129</v>
      </c>
      <c r="X133" s="106">
        <v>21.404538219882642</v>
      </c>
      <c r="Y133" s="106">
        <v>21.528686864141473</v>
      </c>
      <c r="Z133" s="106">
        <v>21.651757985835509</v>
      </c>
      <c r="AA133" s="106">
        <v>21.773746015469452</v>
      </c>
      <c r="AB133" s="106">
        <v>21.894646003045278</v>
      </c>
      <c r="AC133" s="106">
        <v>22.014453604796557</v>
      </c>
      <c r="AD133" s="106">
        <v>22.133165069584344</v>
      </c>
      <c r="AE133" s="106">
        <v>22.250777224996</v>
      </c>
      <c r="AF133" s="106">
        <v>22.367287463187004</v>
      </c>
      <c r="AG133" s="106">
        <v>22.482693726504113</v>
      </c>
      <c r="AH133" s="106">
        <v>22.596994492927045</v>
      </c>
      <c r="AI133" s="106">
        <v>22.710188761364002</v>
      </c>
      <c r="AJ133" s="106">
        <v>22.822276036834925</v>
      </c>
      <c r="AK133" s="106">
        <v>22.933256315574898</v>
      </c>
      <c r="AL133" s="106">
        <v>23.043130070088267</v>
      </c>
      <c r="AM133" s="106">
        <v>23.151898234182781</v>
      </c>
      <c r="AN133" s="106">
        <v>23.259562188011369</v>
      </c>
      <c r="AO133" s="106">
        <v>23.366123743147309</v>
      </c>
      <c r="AP133" s="106">
        <v>23.471585127717695</v>
      </c>
      <c r="AQ133" s="106">
        <v>23.575948971618054</v>
      </c>
      <c r="AR133" s="106">
        <v>23.679218291829425</v>
      </c>
      <c r="AS133" s="106">
        <v>23.781396477858269</v>
      </c>
      <c r="AT133" s="106">
        <v>23.882487277317793</v>
      </c>
      <c r="AU133" s="106">
        <v>23.982494781667814</v>
      </c>
      <c r="AV133" s="106">
        <v>24.081423412129372</v>
      </c>
      <c r="AW133" s="106">
        <v>24.179277905788545</v>
      </c>
      <c r="AX133" s="106">
        <v>24.276063301902909</v>
      </c>
      <c r="AY133" s="106">
        <v>24.371784928422976</v>
      </c>
      <c r="AZ133" s="106">
        <v>24.466448388739398</v>
      </c>
      <c r="BA133" s="106">
        <v>24.560059548666111</v>
      </c>
      <c r="BB133" s="106">
        <v>24.652624523668123</v>
      </c>
      <c r="BC133" s="106">
        <v>24.744149666341816</v>
      </c>
      <c r="BD133" s="106">
        <v>24.834641554154544</v>
      </c>
    </row>
    <row r="134" spans="10:56">
      <c r="J134" s="48"/>
      <c r="P134" s="49">
        <v>67</v>
      </c>
      <c r="Q134" s="106">
        <v>19.718516860592914</v>
      </c>
      <c r="R134" s="106">
        <v>19.848777491919122</v>
      </c>
      <c r="S134" s="106">
        <v>19.978035729701084</v>
      </c>
      <c r="T134" s="106">
        <v>20.106281314112486</v>
      </c>
      <c r="U134" s="106">
        <v>20.233504676615208</v>
      </c>
      <c r="V134" s="106">
        <v>20.359696930492575</v>
      </c>
      <c r="W134" s="106">
        <v>20.484849860727451</v>
      </c>
      <c r="X134" s="106">
        <v>20.608955913273736</v>
      </c>
      <c r="Y134" s="106">
        <v>20.732008183769167</v>
      </c>
      <c r="Z134" s="106">
        <v>20.854000405736201</v>
      </c>
      <c r="AA134" s="106">
        <v>20.974926938317122</v>
      </c>
      <c r="AB134" s="106">
        <v>21.094782753587932</v>
      </c>
      <c r="AC134" s="106">
        <v>21.213563423494708</v>
      </c>
      <c r="AD134" s="106">
        <v>21.331265106454602</v>
      </c>
      <c r="AE134" s="106">
        <v>21.447884533662553</v>
      </c>
      <c r="AF134" s="106">
        <v>21.56341899514301</v>
      </c>
      <c r="AG134" s="106">
        <v>21.67786632558488</v>
      </c>
      <c r="AH134" s="106">
        <v>21.791224889996055</v>
      </c>
      <c r="AI134" s="106">
        <v>21.903493569212614</v>
      </c>
      <c r="AJ134" s="106">
        <v>22.014671745296162</v>
      </c>
      <c r="AK134" s="106">
        <v>22.124759286851187</v>
      </c>
      <c r="AL134" s="106">
        <v>22.233756534292748</v>
      </c>
      <c r="AM134" s="106">
        <v>22.341664285093248</v>
      </c>
      <c r="AN134" s="106">
        <v>22.448483779035715</v>
      </c>
      <c r="AO134" s="106">
        <v>22.554216683498961</v>
      </c>
      <c r="AP134" s="106">
        <v>22.658865078799163</v>
      </c>
      <c r="AQ134" s="106">
        <v>22.762431443610318</v>
      </c>
      <c r="AR134" s="106">
        <v>22.864918640484923</v>
      </c>
      <c r="AS134" s="106">
        <v>22.966329901494682</v>
      </c>
      <c r="AT134" s="106">
        <v>23.066668814009557</v>
      </c>
      <c r="AU134" s="106">
        <v>23.165939306632417</v>
      </c>
      <c r="AV134" s="106">
        <v>23.264145635304921</v>
      </c>
      <c r="AW134" s="106">
        <v>23.36129236959896</v>
      </c>
      <c r="AX134" s="106">
        <v>23.457384379207141</v>
      </c>
      <c r="AY134" s="106">
        <v>23.552426820644229</v>
      </c>
      <c r="AZ134" s="106">
        <v>23.646425124170459</v>
      </c>
      <c r="BA134" s="106">
        <v>23.739384980946443</v>
      </c>
      <c r="BB134" s="106">
        <v>23.831312330428542</v>
      </c>
      <c r="BC134" s="106">
        <v>23.922213348012491</v>
      </c>
      <c r="BD134" s="106">
        <v>24.012094432931679</v>
      </c>
    </row>
    <row r="135" spans="10:56">
      <c r="J135" s="48"/>
      <c r="P135" s="49">
        <v>68</v>
      </c>
      <c r="Q135" s="106">
        <v>18.931934565601299</v>
      </c>
      <c r="R135" s="106">
        <v>19.060670492595019</v>
      </c>
      <c r="S135" s="106">
        <v>19.188430571090937</v>
      </c>
      <c r="T135" s="106">
        <v>19.315204382603252</v>
      </c>
      <c r="U135" s="106">
        <v>19.440982190852374</v>
      </c>
      <c r="V135" s="106">
        <v>19.565754932621878</v>
      </c>
      <c r="W135" s="106">
        <v>19.689514207963665</v>
      </c>
      <c r="X135" s="106">
        <v>19.812252269799401</v>
      </c>
      <c r="Y135" s="106">
        <v>19.933962012965388</v>
      </c>
      <c r="Z135" s="106">
        <v>20.054636962746926</v>
      </c>
      <c r="AA135" s="106">
        <v>20.174271262947673</v>
      </c>
      <c r="AB135" s="106">
        <v>20.292859663537975</v>
      </c>
      <c r="AC135" s="106">
        <v>20.410397507925111</v>
      </c>
      <c r="AD135" s="106">
        <v>20.52688071988722</v>
      </c>
      <c r="AE135" s="106">
        <v>20.642305790211161</v>
      </c>
      <c r="AF135" s="106">
        <v>20.756669763073262</v>
      </c>
      <c r="AG135" s="106">
        <v>20.869970222200532</v>
      </c>
      <c r="AH135" s="106">
        <v>20.982205276848227</v>
      </c>
      <c r="AI135" s="106">
        <v>21.09337354762841</v>
      </c>
      <c r="AJ135" s="106">
        <v>21.203474152222491</v>
      </c>
      <c r="AK135" s="106">
        <v>21.312506691009233</v>
      </c>
      <c r="AL135" s="106">
        <v>21.420471232638114</v>
      </c>
      <c r="AM135" s="106">
        <v>21.527368299576601</v>
      </c>
      <c r="AN135" s="106">
        <v>21.633198853658076</v>
      </c>
      <c r="AO135" s="106">
        <v>21.737964281655984</v>
      </c>
      <c r="AP135" s="106">
        <v>21.841666380907888</v>
      </c>
      <c r="AQ135" s="106">
        <v>21.944307345012316</v>
      </c>
      <c r="AR135" s="106">
        <v>22.045889749618752</v>
      </c>
      <c r="AS135" s="106">
        <v>22.146416538331128</v>
      </c>
      <c r="AT135" s="106">
        <v>22.245891008742447</v>
      </c>
      <c r="AU135" s="106">
        <v>22.344316798617843</v>
      </c>
      <c r="AV135" s="106">
        <v>22.441697872241587</v>
      </c>
      <c r="AW135" s="106">
        <v>22.538038506942264</v>
      </c>
      <c r="AX135" s="106">
        <v>22.63334327980948</v>
      </c>
      <c r="AY135" s="106">
        <v>22.727617054614061</v>
      </c>
      <c r="AZ135" s="106">
        <v>22.82086496894231</v>
      </c>
      <c r="BA135" s="106">
        <v>22.913092421554644</v>
      </c>
      <c r="BB135" s="106">
        <v>23.004305059976812</v>
      </c>
      <c r="BC135" s="106">
        <v>23.094508768331764</v>
      </c>
      <c r="BD135" s="106">
        <v>23.183709655418834</v>
      </c>
    </row>
    <row r="136" spans="10:56">
      <c r="J136" s="48"/>
      <c r="P136" s="49">
        <v>69</v>
      </c>
      <c r="Q136" s="106">
        <v>18.148447756942073</v>
      </c>
      <c r="R136" s="106">
        <v>18.275342687270054</v>
      </c>
      <c r="S136" s="106">
        <v>18.401297141271648</v>
      </c>
      <c r="T136" s="106">
        <v>18.526300392133109</v>
      </c>
      <c r="U136" s="106">
        <v>18.650342385507216</v>
      </c>
      <c r="V136" s="106">
        <v>18.773413730840858</v>
      </c>
      <c r="W136" s="106">
        <v>18.895505692050964</v>
      </c>
      <c r="X136" s="106">
        <v>19.016610177595599</v>
      </c>
      <c r="Y136" s="106">
        <v>19.136719729986758</v>
      </c>
      <c r="Z136" s="106">
        <v>19.255827514790173</v>
      </c>
      <c r="AA136" s="106">
        <v>19.373927309156706</v>
      </c>
      <c r="AB136" s="106">
        <v>19.491013489928577</v>
      </c>
      <c r="AC136" s="106">
        <v>19.607081021362898</v>
      </c>
      <c r="AD136" s="106">
        <v>19.722125442513299</v>
      </c>
      <c r="AE136" s="106">
        <v>19.836142854309422</v>
      </c>
      <c r="AF136" s="106">
        <v>19.949129906372715</v>
      </c>
      <c r="AG136" s="106">
        <v>20.061083783605419</v>
      </c>
      <c r="AH136" s="106">
        <v>20.172002192588135</v>
      </c>
      <c r="AI136" s="106">
        <v>20.28188334782028</v>
      </c>
      <c r="AJ136" s="106">
        <v>20.390725957835752</v>
      </c>
      <c r="AK136" s="106">
        <v>20.498529211225186</v>
      </c>
      <c r="AL136" s="106">
        <v>20.605292762593972</v>
      </c>
      <c r="AM136" s="106">
        <v>20.711016718484604</v>
      </c>
      <c r="AN136" s="106">
        <v>20.815701623289744</v>
      </c>
      <c r="AO136" s="106">
        <v>20.919348445181008</v>
      </c>
      <c r="AP136" s="106">
        <v>21.021958562077558</v>
      </c>
      <c r="AQ136" s="106">
        <v>21.123533747676525</v>
      </c>
      <c r="AR136" s="106">
        <v>21.224076157566063</v>
      </c>
      <c r="AS136" s="106">
        <v>21.323588315440848</v>
      </c>
      <c r="AT136" s="106">
        <v>21.422073099437842</v>
      </c>
      <c r="AU136" s="106">
        <v>21.519533728609439</v>
      </c>
      <c r="AV136" s="106">
        <v>21.615973749549525</v>
      </c>
      <c r="AW136" s="106">
        <v>21.711397023186681</v>
      </c>
      <c r="AX136" s="106">
        <v>21.805807711757861</v>
      </c>
      <c r="AY136" s="106">
        <v>21.899210265974634</v>
      </c>
      <c r="AZ136" s="106">
        <v>21.991609412392645</v>
      </c>
      <c r="BA136" s="106">
        <v>22.083010140994514</v>
      </c>
      <c r="BB136" s="106">
        <v>22.173417692994754</v>
      </c>
      <c r="BC136" s="106">
        <v>22.262837548874749</v>
      </c>
      <c r="BD136" s="106">
        <v>22.351275416654563</v>
      </c>
    </row>
    <row r="137" spans="10:56">
      <c r="J137" s="48"/>
      <c r="P137" s="49">
        <v>70</v>
      </c>
      <c r="Q137" s="106">
        <v>17.371082294397077</v>
      </c>
      <c r="R137" s="106">
        <v>17.495813472656074</v>
      </c>
      <c r="S137" s="106">
        <v>17.619647365937336</v>
      </c>
      <c r="T137" s="106">
        <v>17.742572821229775</v>
      </c>
      <c r="U137" s="106">
        <v>17.864579347404486</v>
      </c>
      <c r="V137" s="106">
        <v>17.985657107130447</v>
      </c>
      <c r="W137" s="106">
        <v>18.105796908136501</v>
      </c>
      <c r="X137" s="106">
        <v>18.22499019386558</v>
      </c>
      <c r="Y137" s="106">
        <v>18.343229033566427</v>
      </c>
      <c r="Z137" s="106">
        <v>18.46050611186736</v>
      </c>
      <c r="AA137" s="106">
        <v>18.576814717875557</v>
      </c>
      <c r="AB137" s="106">
        <v>18.692148733844558</v>
      </c>
      <c r="AC137" s="106">
        <v>18.806502623451159</v>
      </c>
      <c r="AD137" s="106">
        <v>18.919871419722174</v>
      </c>
      <c r="AE137" s="106">
        <v>19.032250712649823</v>
      </c>
      <c r="AF137" s="106">
        <v>19.143636636533603</v>
      </c>
      <c r="AG137" s="106">
        <v>19.25402585708493</v>
      </c>
      <c r="AH137" s="106">
        <v>19.363415558329311</v>
      </c>
      <c r="AI137" s="106">
        <v>19.471803429339946</v>
      </c>
      <c r="AJ137" s="106">
        <v>19.579187650834488</v>
      </c>
      <c r="AK137" s="106">
        <v>19.685566881665927</v>
      </c>
      <c r="AL137" s="106">
        <v>19.790940245236627</v>
      </c>
      <c r="AM137" s="106">
        <v>19.89530731586342</v>
      </c>
      <c r="AN137" s="106">
        <v>19.998668105120082</v>
      </c>
      <c r="AO137" s="106">
        <v>20.101023048182004</v>
      </c>
      <c r="AP137" s="106">
        <v>20.202372990196785</v>
      </c>
      <c r="AQ137" s="106">
        <v>20.302719172702734</v>
      </c>
      <c r="AR137" s="106">
        <v>20.402063220116055</v>
      </c>
      <c r="AS137" s="106">
        <v>20.500407126306175</v>
      </c>
      <c r="AT137" s="106">
        <v>20.597753241277484</v>
      </c>
      <c r="AU137" s="106">
        <v>20.694104257973997</v>
      </c>
      <c r="AV137" s="106">
        <v>20.789463199223146</v>
      </c>
      <c r="AW137" s="106">
        <v>20.883833404832377</v>
      </c>
      <c r="AX137" s="106">
        <v>20.977218518852624</v>
      </c>
      <c r="AY137" s="106">
        <v>21.069622477020207</v>
      </c>
      <c r="AZ137" s="106">
        <v>21.161049494388571</v>
      </c>
      <c r="BA137" s="106">
        <v>21.251504053159682</v>
      </c>
      <c r="BB137" s="106">
        <v>21.340990890724409</v>
      </c>
      <c r="BC137" s="106">
        <v>21.429514987919674</v>
      </c>
      <c r="BD137" s="106">
        <v>21.517081557509698</v>
      </c>
    </row>
    <row r="138" spans="10:56">
      <c r="J138" s="48"/>
      <c r="P138" s="49">
        <v>71</v>
      </c>
      <c r="Q138" s="106">
        <v>16.598197312493113</v>
      </c>
      <c r="R138" s="106">
        <v>16.720550367316086</v>
      </c>
      <c r="S138" s="106">
        <v>16.842053422267995</v>
      </c>
      <c r="T138" s="106">
        <v>16.962694863968316</v>
      </c>
      <c r="U138" s="106">
        <v>17.082463728939651</v>
      </c>
      <c r="V138" s="106">
        <v>17.201349696174407</v>
      </c>
      <c r="W138" s="106">
        <v>17.319343079046483</v>
      </c>
      <c r="X138" s="106">
        <v>17.436434816612607</v>
      </c>
      <c r="Y138" s="106">
        <v>17.552616464347452</v>
      </c>
      <c r="Z138" s="106">
        <v>17.667880184355905</v>
      </c>
      <c r="AA138" s="106">
        <v>17.782218735104873</v>
      </c>
      <c r="AB138" s="106">
        <v>17.895625460716161</v>
      </c>
      <c r="AC138" s="106">
        <v>18.008094279860877</v>
      </c>
      <c r="AD138" s="106">
        <v>18.119619674294633</v>
      </c>
      <c r="AE138" s="106">
        <v>18.23019667707165</v>
      </c>
      <c r="AF138" s="106">
        <v>18.339820860474667</v>
      </c>
      <c r="AG138" s="106">
        <v>18.448488323696314</v>
      </c>
      <c r="AH138" s="106">
        <v>18.556195680306079</v>
      </c>
      <c r="AI138" s="106">
        <v>18.662940045535855</v>
      </c>
      <c r="AJ138" s="106">
        <v>18.768719023415692</v>
      </c>
      <c r="AK138" s="106">
        <v>18.873530693789839</v>
      </c>
      <c r="AL138" s="106">
        <v>18.977373599241805</v>
      </c>
      <c r="AM138" s="106">
        <v>19.080246731956063</v>
      </c>
      <c r="AN138" s="106">
        <v>19.182149520542172</v>
      </c>
      <c r="AO138" s="106">
        <v>19.283081816846092</v>
      </c>
      <c r="AP138" s="106">
        <v>19.383043882771933</v>
      </c>
      <c r="AQ138" s="106">
        <v>19.482036377136218</v>
      </c>
      <c r="AR138" s="106">
        <v>19.580060342575084</v>
      </c>
      <c r="AS138" s="106">
        <v>19.677117192523941</v>
      </c>
      <c r="AT138" s="106">
        <v>19.773208698287657</v>
      </c>
      <c r="AU138" s="106">
        <v>19.868336976218032</v>
      </c>
      <c r="AV138" s="106">
        <v>19.962504475014395</v>
      </c>
      <c r="AW138" s="106">
        <v>20.055713963161608</v>
      </c>
      <c r="AX138" s="106">
        <v>20.147968516519047</v>
      </c>
      <c r="AY138" s="106">
        <v>20.239271506072786</v>
      </c>
      <c r="AZ138" s="106">
        <v>20.329626585862094</v>
      </c>
      <c r="BA138" s="106">
        <v>20.419037681090757</v>
      </c>
      <c r="BB138" s="106">
        <v>20.507508976432099</v>
      </c>
      <c r="BC138" s="106">
        <v>20.595044904536458</v>
      </c>
      <c r="BD138" s="106">
        <v>20.681650134748075</v>
      </c>
    </row>
    <row r="139" spans="10:56">
      <c r="J139" s="48"/>
      <c r="P139" s="49">
        <v>72</v>
      </c>
      <c r="Q139" s="106">
        <v>15.832546401802027</v>
      </c>
      <c r="R139" s="106">
        <v>15.952309831212805</v>
      </c>
      <c r="S139" s="106">
        <v>16.071272903563639</v>
      </c>
      <c r="T139" s="106">
        <v>16.189423575797555</v>
      </c>
      <c r="U139" s="106">
        <v>16.306750440336291</v>
      </c>
      <c r="V139" s="106">
        <v>16.423242718333665</v>
      </c>
      <c r="W139" s="106">
        <v>16.538890252275948</v>
      </c>
      <c r="X139" s="106">
        <v>16.65368349797221</v>
      </c>
      <c r="Y139" s="106">
        <v>16.767613515977498</v>
      </c>
      <c r="Z139" s="106">
        <v>16.880671962490652</v>
      </c>
      <c r="AA139" s="106">
        <v>16.992851079767956</v>
      </c>
      <c r="AB139" s="106">
        <v>17.104143686092659</v>
      </c>
      <c r="AC139" s="106">
        <v>17.214543165339922</v>
      </c>
      <c r="AD139" s="106">
        <v>17.324043456175009</v>
      </c>
      <c r="AE139" s="106">
        <v>17.432639040921934</v>
      </c>
      <c r="AF139" s="106">
        <v>17.540324934138489</v>
      </c>
      <c r="AG139" s="106">
        <v>17.64709667093226</v>
      </c>
      <c r="AH139" s="106">
        <v>17.752950295050908</v>
      </c>
      <c r="AI139" s="106">
        <v>17.857882346779146</v>
      </c>
      <c r="AJ139" s="106">
        <v>17.9618898506729</v>
      </c>
      <c r="AK139" s="106">
        <v>18.064970303160521</v>
      </c>
      <c r="AL139" s="106">
        <v>18.167121660038898</v>
      </c>
      <c r="AM139" s="106">
        <v>18.268342323891645</v>
      </c>
      <c r="AN139" s="106">
        <v>18.368631131454727</v>
      </c>
      <c r="AO139" s="106">
        <v>18.467987340953918</v>
      </c>
      <c r="AP139" s="106">
        <v>18.566410619436862</v>
      </c>
      <c r="AQ139" s="106">
        <v>18.663901030121686</v>
      </c>
      <c r="AR139" s="106">
        <v>18.760459019782243</v>
      </c>
      <c r="AS139" s="106">
        <v>18.85608540618944</v>
      </c>
      <c r="AT139" s="106">
        <v>18.950781365626465</v>
      </c>
      <c r="AU139" s="106">
        <v>19.044548420494685</v>
      </c>
      <c r="AV139" s="106">
        <v>19.137388427026021</v>
      </c>
      <c r="AW139" s="106">
        <v>19.229303563115995</v>
      </c>
      <c r="AX139" s="106">
        <v>19.320296316291227</v>
      </c>
      <c r="AY139" s="106">
        <v>19.410369471823405</v>
      </c>
      <c r="AZ139" s="106">
        <v>19.499526101001408</v>
      </c>
      <c r="BA139" s="106">
        <v>19.587769549571661</v>
      </c>
      <c r="BB139" s="106">
        <v>19.675103426356383</v>
      </c>
      <c r="BC139" s="106">
        <v>19.761531592058148</v>
      </c>
      <c r="BD139" s="106">
        <v>19.847058148258302</v>
      </c>
    </row>
    <row r="140" spans="10:56">
      <c r="J140" s="48"/>
      <c r="P140" s="49">
        <v>73</v>
      </c>
      <c r="Q140" s="106">
        <v>15.075217793417671</v>
      </c>
      <c r="R140" s="106">
        <v>15.192217095029569</v>
      </c>
      <c r="S140" s="106">
        <v>15.308465832460605</v>
      </c>
      <c r="T140" s="106">
        <v>15.423951626747748</v>
      </c>
      <c r="U140" s="106">
        <v>15.538662716823668</v>
      </c>
      <c r="V140" s="106">
        <v>15.652587953460472</v>
      </c>
      <c r="W140" s="106">
        <v>15.765716792567476</v>
      </c>
      <c r="X140" s="106">
        <v>15.878039287884292</v>
      </c>
      <c r="Y140" s="106">
        <v>15.989546083110188</v>
      </c>
      <c r="Z140" s="106">
        <v>16.100228403509988</v>
      </c>
      <c r="AA140" s="106">
        <v>16.210078047036045</v>
      </c>
      <c r="AB140" s="106">
        <v>16.319087375004905</v>
      </c>
      <c r="AC140" s="106">
        <v>16.427249302366477</v>
      </c>
      <c r="AD140" s="106">
        <v>16.534557287602517</v>
      </c>
      <c r="AE140" s="106">
        <v>16.641005322290034</v>
      </c>
      <c r="AF140" s="106">
        <v>16.746587920364433</v>
      </c>
      <c r="AG140" s="106">
        <v>16.851300107115783</v>
      </c>
      <c r="AH140" s="106">
        <v>16.955137407950552</v>
      </c>
      <c r="AI140" s="106">
        <v>17.05809583694996</v>
      </c>
      <c r="AJ140" s="106">
        <v>17.160171885254805</v>
      </c>
      <c r="AK140" s="106">
        <v>17.261362509305581</v>
      </c>
      <c r="AL140" s="106">
        <v>17.361665118965021</v>
      </c>
      <c r="AM140" s="106">
        <v>17.461077565549516</v>
      </c>
      <c r="AN140" s="106">
        <v>17.559598129794214</v>
      </c>
      <c r="AO140" s="106">
        <v>17.657225509775376</v>
      </c>
      <c r="AP140" s="106">
        <v>17.753958808812683</v>
      </c>
      <c r="AQ140" s="106">
        <v>17.849797523372523</v>
      </c>
      <c r="AR140" s="106">
        <v>17.944741530992264</v>
      </c>
      <c r="AS140" s="106">
        <v>18.038791078244678</v>
      </c>
      <c r="AT140" s="106">
        <v>18.131946768759768</v>
      </c>
      <c r="AU140" s="106">
        <v>18.224209551320925</v>
      </c>
      <c r="AV140" s="106">
        <v>18.315580708050774</v>
      </c>
      <c r="AW140" s="106">
        <v>18.406061842700996</v>
      </c>
      <c r="AX140" s="106">
        <v>18.495654869059727</v>
      </c>
      <c r="AY140" s="106">
        <v>18.584361999488589</v>
      </c>
      <c r="AZ140" s="106">
        <v>18.672185733601001</v>
      </c>
      <c r="BA140" s="106">
        <v>18.759128847092079</v>
      </c>
      <c r="BB140" s="106">
        <v>18.845194380729549</v>
      </c>
      <c r="BC140" s="106">
        <v>18.930385629514625</v>
      </c>
      <c r="BD140" s="106">
        <v>19.014706132020322</v>
      </c>
    </row>
    <row r="141" spans="10:56">
      <c r="J141" s="48"/>
      <c r="P141" s="49">
        <v>74</v>
      </c>
      <c r="Q141" s="106">
        <v>14.324706898034867</v>
      </c>
      <c r="R141" s="106">
        <v>14.438855962116246</v>
      </c>
      <c r="S141" s="106">
        <v>14.552301582613572</v>
      </c>
      <c r="T141" s="106">
        <v>14.665031195198329</v>
      </c>
      <c r="U141" s="106">
        <v>14.777032832496115</v>
      </c>
      <c r="V141" s="106">
        <v>14.888295118691493</v>
      </c>
      <c r="W141" s="106">
        <v>14.998807263499463</v>
      </c>
      <c r="X141" s="106">
        <v>15.108559055543131</v>
      </c>
      <c r="Y141" s="106">
        <v>15.217540855176365</v>
      </c>
      <c r="Z141" s="106">
        <v>15.325743586790141</v>
      </c>
      <c r="AA141" s="106">
        <v>15.433158730639983</v>
      </c>
      <c r="AB141" s="106">
        <v>15.539778314231656</v>
      </c>
      <c r="AC141" s="106">
        <v>15.645594903301134</v>
      </c>
      <c r="AD141" s="106">
        <v>15.750601592424079</v>
      </c>
      <c r="AE141" s="106">
        <v>15.854791995288913</v>
      </c>
      <c r="AF141" s="106">
        <v>15.958160234666895</v>
      </c>
      <c r="AG141" s="106">
        <v>16.060700932111235</v>
      </c>
      <c r="AH141" s="106">
        <v>16.16240919741621</v>
      </c>
      <c r="AI141" s="106">
        <v>16.263280617866375</v>
      </c>
      <c r="AJ141" s="106">
        <v>16.363311247304484</v>
      </c>
      <c r="AK141" s="106">
        <v>16.462497595045871</v>
      </c>
      <c r="AL141" s="106">
        <v>16.560836614665593</v>
      </c>
      <c r="AM141" s="106">
        <v>16.658325692683739</v>
      </c>
      <c r="AN141" s="106">
        <v>16.754962637172966</v>
      </c>
      <c r="AO141" s="106">
        <v>16.850745666311049</v>
      </c>
      <c r="AP141" s="106">
        <v>16.945673396900496</v>
      </c>
      <c r="AQ141" s="106">
        <v>17.039744832875595</v>
      </c>
      <c r="AR141" s="106">
        <v>17.132959353816457</v>
      </c>
      <c r="AS141" s="106">
        <v>17.225316703488541</v>
      </c>
      <c r="AT141" s="106">
        <v>17.316816978424761</v>
      </c>
      <c r="AU141" s="106">
        <v>17.407460616566468</v>
      </c>
      <c r="AV141" s="106">
        <v>17.497248385978597</v>
      </c>
      <c r="AW141" s="106">
        <v>17.586181373652931</v>
      </c>
      <c r="AX141" s="106">
        <v>17.674260974412729</v>
      </c>
      <c r="AY141" s="106">
        <v>17.76148887993094</v>
      </c>
      <c r="AZ141" s="106">
        <v>17.84786706787331</v>
      </c>
      <c r="BA141" s="106">
        <v>17.93339779117667</v>
      </c>
      <c r="BB141" s="106">
        <v>18.018083567471926</v>
      </c>
      <c r="BC141" s="106">
        <v>18.10192716866058</v>
      </c>
      <c r="BD141" s="106">
        <v>18.184931610652441</v>
      </c>
    </row>
    <row r="142" spans="10:56">
      <c r="J142" s="48"/>
      <c r="P142" s="49">
        <v>75</v>
      </c>
      <c r="Q142" s="106">
        <v>13.590059025730081</v>
      </c>
      <c r="R142" s="106">
        <v>13.701052882807522</v>
      </c>
      <c r="S142" s="106">
        <v>13.811392111470713</v>
      </c>
      <c r="T142" s="106">
        <v>13.921064060225817</v>
      </c>
      <c r="U142" s="106">
        <v>14.030056649571087</v>
      </c>
      <c r="V142" s="106">
        <v>14.13835836728588</v>
      </c>
      <c r="W142" s="106">
        <v>14.245958263104505</v>
      </c>
      <c r="X142" s="106">
        <v>14.352845942812012</v>
      </c>
      <c r="Y142" s="106">
        <v>14.459011561798837</v>
      </c>
      <c r="Z142" s="106">
        <v>14.56444581811045</v>
      </c>
      <c r="AA142" s="106">
        <v>14.669139945027707</v>
      </c>
      <c r="AB142" s="106">
        <v>14.773085703212722</v>
      </c>
      <c r="AC142" s="106">
        <v>14.876275372454499</v>
      </c>
      <c r="AD142" s="106">
        <v>14.978701743047715</v>
      </c>
      <c r="AE142" s="106">
        <v>15.080358106836881</v>
      </c>
      <c r="AF142" s="106">
        <v>15.181238247957562</v>
      </c>
      <c r="AG142" s="106">
        <v>15.281336433305166</v>
      </c>
      <c r="AH142" s="106">
        <v>15.380647402760644</v>
      </c>
      <c r="AI142" s="106">
        <v>15.479166359201782</v>
      </c>
      <c r="AJ142" s="106">
        <v>15.576888958327334</v>
      </c>
      <c r="AK142" s="106">
        <v>15.673811298320491</v>
      </c>
      <c r="AL142" s="106">
        <v>15.769929909376669</v>
      </c>
      <c r="AM142" s="106">
        <v>15.865241743120176</v>
      </c>
      <c r="AN142" s="106">
        <v>15.959744161932433</v>
      </c>
      <c r="AO142" s="106">
        <v>16.053434928213981</v>
      </c>
      <c r="AP142" s="106">
        <v>16.14631219360108</v>
      </c>
      <c r="AQ142" s="106">
        <v>16.238374488156786</v>
      </c>
      <c r="AR142" s="106">
        <v>16.329620709555197</v>
      </c>
      <c r="AS142" s="106">
        <v>16.420050112276755</v>
      </c>
      <c r="AT142" s="106">
        <v>16.509662296831088</v>
      </c>
      <c r="AU142" s="106">
        <v>16.598457199023347</v>
      </c>
      <c r="AV142" s="106">
        <v>16.686435079278606</v>
      </c>
      <c r="AW142" s="106">
        <v>16.773596512038225</v>
      </c>
      <c r="AX142" s="106">
        <v>16.859942375240824</v>
      </c>
      <c r="AY142" s="106">
        <v>16.945473839900128</v>
      </c>
      <c r="AZ142" s="106">
        <v>17.030192359790455</v>
      </c>
      <c r="BA142" s="106">
        <v>17.114099661250215</v>
      </c>
      <c r="BB142" s="106">
        <v>17.197197733112883</v>
      </c>
      <c r="BC142" s="106">
        <v>17.27948881677391</v>
      </c>
      <c r="BD142" s="106">
        <v>17.360975396401624</v>
      </c>
    </row>
    <row r="143" spans="10:56">
      <c r="J143" s="48"/>
      <c r="P143" s="49">
        <v>76</v>
      </c>
      <c r="Q143" s="106">
        <v>12.865751263973742</v>
      </c>
      <c r="R143" s="106">
        <v>12.973399912603503</v>
      </c>
      <c r="S143" s="106">
        <v>13.0804426724637</v>
      </c>
      <c r="T143" s="106">
        <v>13.18686690752423</v>
      </c>
      <c r="U143" s="106">
        <v>13.292660525621494</v>
      </c>
      <c r="V143" s="106">
        <v>13.397811974432379</v>
      </c>
      <c r="W143" s="106">
        <v>13.502310236855598</v>
      </c>
      <c r="X143" s="106">
        <v>13.606144825835463</v>
      </c>
      <c r="Y143" s="106">
        <v>13.709305778662042</v>
      </c>
      <c r="Z143" s="106">
        <v>13.811783650781962</v>
      </c>
      <c r="AA143" s="106">
        <v>13.913569509152946</v>
      </c>
      <c r="AB143" s="106">
        <v>14.014654925174899</v>
      </c>
      <c r="AC143" s="106">
        <v>14.115031967229502</v>
      </c>
      <c r="AD143" s="106">
        <v>14.214693192859636</v>
      </c>
      <c r="AE143" s="106">
        <v>14.313631640619034</v>
      </c>
      <c r="AF143" s="106">
        <v>14.411840821621704</v>
      </c>
      <c r="AG143" s="106">
        <v>14.509314710820028</v>
      </c>
      <c r="AH143" s="106">
        <v>14.606047738039059</v>
      </c>
      <c r="AI143" s="106">
        <v>14.702034778794111</v>
      </c>
      <c r="AJ143" s="106">
        <v>14.797271144917236</v>
      </c>
      <c r="AK143" s="106">
        <v>14.891752575017829</v>
      </c>
      <c r="AL143" s="106">
        <v>14.985475224800803</v>
      </c>
      <c r="AM143" s="106">
        <v>15.078435657265707</v>
      </c>
      <c r="AN143" s="106">
        <v>15.170630832808254</v>
      </c>
      <c r="AO143" s="106">
        <v>15.262058099245369</v>
      </c>
      <c r="AP143" s="106">
        <v>15.35271518178366</v>
      </c>
      <c r="AQ143" s="106">
        <v>15.442600172950105</v>
      </c>
      <c r="AR143" s="106">
        <v>15.531711522502919</v>
      </c>
      <c r="AS143" s="106">
        <v>15.620048027339612</v>
      </c>
      <c r="AT143" s="106">
        <v>15.707608821418233</v>
      </c>
      <c r="AU143" s="106">
        <v>15.794393365706815</v>
      </c>
      <c r="AV143" s="106">
        <v>15.880401438175364</v>
      </c>
      <c r="AW143" s="106">
        <v>15.965633123843535</v>
      </c>
      <c r="AX143" s="106">
        <v>16.0500888048965</v>
      </c>
      <c r="AY143" s="106">
        <v>16.133769150880621</v>
      </c>
      <c r="AZ143" s="106">
        <v>16.216675108989623</v>
      </c>
      <c r="BA143" s="106">
        <v>16.298807894451375</v>
      </c>
      <c r="BB143" s="106">
        <v>16.380168981024362</v>
      </c>
      <c r="BC143" s="106">
        <v>16.460760091612499</v>
      </c>
      <c r="BD143" s="106">
        <v>16.540583189005915</v>
      </c>
    </row>
    <row r="144" spans="10:56">
      <c r="J144" s="48"/>
      <c r="P144" s="49">
        <v>77</v>
      </c>
      <c r="Q144" s="106">
        <v>12.155106437428307</v>
      </c>
      <c r="R144" s="106">
        <v>12.259157714577066</v>
      </c>
      <c r="S144" s="106">
        <v>12.362652648639177</v>
      </c>
      <c r="T144" s="106">
        <v>12.465578717892134</v>
      </c>
      <c r="U144" s="106">
        <v>12.567923912912837</v>
      </c>
      <c r="V144" s="106">
        <v>12.669676733246295</v>
      </c>
      <c r="W144" s="106">
        <v>12.770826183509078</v>
      </c>
      <c r="X144" s="106">
        <v>12.871361768959602</v>
      </c>
      <c r="Y144" s="106">
        <v>12.971273490566979</v>
      </c>
      <c r="Z144" s="106">
        <v>13.070551839609655</v>
      </c>
      <c r="AA144" s="106">
        <v>13.169187791834814</v>
      </c>
      <c r="AB144" s="106">
        <v>13.267172801208694</v>
      </c>
      <c r="AC144" s="106">
        <v>13.364498793287465</v>
      </c>
      <c r="AD144" s="106">
        <v>13.461158158237797</v>
      </c>
      <c r="AE144" s="106">
        <v>13.557143743535175</v>
      </c>
      <c r="AF144" s="106">
        <v>13.652448846367596</v>
      </c>
      <c r="AG144" s="106">
        <v>13.747067205771325</v>
      </c>
      <c r="AH144" s="106">
        <v>13.840992994524484</v>
      </c>
      <c r="AI144" s="106">
        <v>13.93422081082368</v>
      </c>
      <c r="AJ144" s="106">
        <v>14.026745669767552</v>
      </c>
      <c r="AK144" s="106">
        <v>14.118562994670782</v>
      </c>
      <c r="AL144" s="106">
        <v>14.209668608230599</v>
      </c>
      <c r="AM144" s="106">
        <v>14.300058723567572</v>
      </c>
      <c r="AN144" s="106">
        <v>14.38972993516092</v>
      </c>
      <c r="AO144" s="106">
        <v>14.478679209698122</v>
      </c>
      <c r="AP144" s="106">
        <v>14.566903876857573</v>
      </c>
      <c r="AQ144" s="106">
        <v>14.654401620042067</v>
      </c>
      <c r="AR144" s="106">
        <v>14.741170467079915</v>
      </c>
      <c r="AS144" s="106">
        <v>14.827208780910091</v>
      </c>
      <c r="AT144" s="106">
        <v>14.912515250266228</v>
      </c>
      <c r="AU144" s="106">
        <v>14.997088880374026</v>
      </c>
      <c r="AV144" s="106">
        <v>15.080928983675593</v>
      </c>
      <c r="AW144" s="106">
        <v>15.164035170593312</v>
      </c>
      <c r="AX144" s="106">
        <v>15.246407340345213</v>
      </c>
      <c r="AY144" s="106">
        <v>15.328045671823022</v>
      </c>
      <c r="AZ144" s="106">
        <v>15.408950614543192</v>
      </c>
      <c r="BA144" s="106">
        <v>15.489122879680643</v>
      </c>
      <c r="BB144" s="106">
        <v>15.56856343119418</v>
      </c>
      <c r="BC144" s="106">
        <v>15.647273477051787</v>
      </c>
      <c r="BD144" s="106">
        <v>15.725254460563509</v>
      </c>
    </row>
    <row r="145" spans="10:56">
      <c r="J145" s="48"/>
      <c r="P145" s="49">
        <v>78</v>
      </c>
      <c r="Q145" s="106">
        <v>11.459641127058317</v>
      </c>
      <c r="R145" s="106">
        <v>11.55982638321402</v>
      </c>
      <c r="S145" s="106">
        <v>11.659505674942165</v>
      </c>
      <c r="T145" s="106">
        <v>11.758666695215272</v>
      </c>
      <c r="U145" s="106">
        <v>11.857297614411372</v>
      </c>
      <c r="V145" s="106">
        <v>11.955387077680166</v>
      </c>
      <c r="W145" s="106">
        <v>12.052924201775735</v>
      </c>
      <c r="X145" s="106">
        <v>12.149898571385014</v>
      </c>
      <c r="Y145" s="106">
        <v>12.246300234980819</v>
      </c>
      <c r="Z145" s="106">
        <v>12.342119700228082</v>
      </c>
      <c r="AA145" s="106">
        <v>12.437347928971443</v>
      </c>
      <c r="AB145" s="106">
        <v>12.531976331831661</v>
      </c>
      <c r="AC145" s="106">
        <v>12.625996762438184</v>
      </c>
      <c r="AD145" s="106">
        <v>12.719401511324193</v>
      </c>
      <c r="AE145" s="106">
        <v>12.812183299510119</v>
      </c>
      <c r="AF145" s="106">
        <v>12.904335271800798</v>
      </c>
      <c r="AG145" s="106">
        <v>12.995850989820745</v>
      </c>
      <c r="AH145" s="106">
        <v>13.086724424811358</v>
      </c>
      <c r="AI145" s="106">
        <v>13.176949950213034</v>
      </c>
      <c r="AJ145" s="106">
        <v>13.266522334054427</v>
      </c>
      <c r="AK145" s="106">
        <v>13.355436731170339</v>
      </c>
      <c r="AL145" s="106">
        <v>13.443688675268803</v>
      </c>
      <c r="AM145" s="106">
        <v>13.531274070867322</v>
      </c>
      <c r="AN145" s="106">
        <v>13.618189185117197</v>
      </c>
      <c r="AO145" s="106">
        <v>13.704430639534124</v>
      </c>
      <c r="AP145" s="106">
        <v>13.789995401652645</v>
      </c>
      <c r="AQ145" s="106">
        <v>13.874880776620893</v>
      </c>
      <c r="AR145" s="106">
        <v>13.95908439875145</v>
      </c>
      <c r="AS145" s="106">
        <v>14.042604223043483</v>
      </c>
      <c r="AT145" s="106">
        <v>14.125438516690195</v>
      </c>
      <c r="AU145" s="106">
        <v>14.20758585058522</v>
      </c>
      <c r="AV145" s="106">
        <v>14.289045090840705</v>
      </c>
      <c r="AW145" s="106">
        <v>14.369815390328945</v>
      </c>
      <c r="AX145" s="106">
        <v>14.449896180258953</v>
      </c>
      <c r="AY145" s="106">
        <v>14.529287161798582</v>
      </c>
      <c r="AZ145" s="106">
        <v>14.607988297752007</v>
      </c>
      <c r="BA145" s="106">
        <v>14.685999804301858</v>
      </c>
      <c r="BB145" s="106">
        <v>14.763322142824672</v>
      </c>
      <c r="BC145" s="106">
        <v>14.839956011787532</v>
      </c>
      <c r="BD145" s="106">
        <v>14.915902338733362</v>
      </c>
    </row>
    <row r="146" spans="10:56">
      <c r="J146" s="48"/>
      <c r="P146" s="49">
        <v>79</v>
      </c>
      <c r="Q146" s="106">
        <v>10.78436060663681</v>
      </c>
      <c r="R146" s="106">
        <v>10.880306541697003</v>
      </c>
      <c r="S146" s="106">
        <v>10.975799570588045</v>
      </c>
      <c r="T146" s="106">
        <v>11.070827678147946</v>
      </c>
      <c r="U146" s="106">
        <v>11.165379288484678</v>
      </c>
      <c r="V146" s="106">
        <v>11.259443263042332</v>
      </c>
      <c r="W146" s="106">
        <v>11.353008898170659</v>
      </c>
      <c r="X146" s="106">
        <v>11.446065922224099</v>
      </c>
      <c r="Y146" s="106">
        <v>11.538604492216038</v>
      </c>
      <c r="Z146" s="106">
        <v>11.63061519005397</v>
      </c>
      <c r="AA146" s="106">
        <v>11.722089018380661</v>
      </c>
      <c r="AB146" s="106">
        <v>11.813017396046087</v>
      </c>
      <c r="AC146" s="106">
        <v>11.903392153234567</v>
      </c>
      <c r="AD146" s="106">
        <v>11.993205526270787</v>
      </c>
      <c r="AE146" s="106">
        <v>12.082450152128027</v>
      </c>
      <c r="AF146" s="106">
        <v>12.17111906266136</v>
      </c>
      <c r="AG146" s="106">
        <v>12.259205678587822</v>
      </c>
      <c r="AH146" s="106">
        <v>12.346703803234989</v>
      </c>
      <c r="AI146" s="106">
        <v>12.43360761607895</v>
      </c>
      <c r="AJ146" s="106">
        <v>12.519911666091476</v>
      </c>
      <c r="AK146" s="106">
        <v>12.605610864916262</v>
      </c>
      <c r="AL146" s="106">
        <v>12.690700479892527</v>
      </c>
      <c r="AM146" s="106">
        <v>12.775176126944441</v>
      </c>
      <c r="AN146" s="106">
        <v>12.859033763353455</v>
      </c>
      <c r="AO146" s="106">
        <v>12.942269680430247</v>
      </c>
      <c r="AP146" s="106">
        <v>13.024880496102272</v>
      </c>
      <c r="AQ146" s="106">
        <v>13.106863147432078</v>
      </c>
      <c r="AR146" s="106">
        <v>13.188214883080891</v>
      </c>
      <c r="AS146" s="106">
        <v>13.268933255731412</v>
      </c>
      <c r="AT146" s="106">
        <v>13.349016114482884</v>
      </c>
      <c r="AU146" s="106">
        <v>13.428461597230955</v>
      </c>
      <c r="AV146" s="106">
        <v>13.507268123044124</v>
      </c>
      <c r="AW146" s="106">
        <v>13.585434384548012</v>
      </c>
      <c r="AX146" s="106">
        <v>13.662959340327959</v>
      </c>
      <c r="AY146" s="106">
        <v>13.739842207359839</v>
      </c>
      <c r="AZ146" s="106">
        <v>13.816082453478469</v>
      </c>
      <c r="BA146" s="106">
        <v>13.891679789892315</v>
      </c>
      <c r="BB146" s="106">
        <v>13.966634163752698</v>
      </c>
      <c r="BC146" s="106">
        <v>14.040945750785061</v>
      </c>
      <c r="BD146" s="106">
        <v>14.114614947989361</v>
      </c>
    </row>
    <row r="147" spans="10:56">
      <c r="J147" s="48"/>
      <c r="P147" s="49">
        <v>80</v>
      </c>
      <c r="Q147" s="106">
        <v>10.124782502259642</v>
      </c>
      <c r="R147" s="106">
        <v>10.216303559592406</v>
      </c>
      <c r="S147" s="106">
        <v>10.307422832925392</v>
      </c>
      <c r="T147" s="106">
        <v>10.398128727141886</v>
      </c>
      <c r="U147" s="106">
        <v>10.488410046536721</v>
      </c>
      <c r="V147" s="106">
        <v>10.578255993498964</v>
      </c>
      <c r="W147" s="106">
        <v>10.667656166739903</v>
      </c>
      <c r="X147" s="106">
        <v>10.756600559089202</v>
      </c>
      <c r="Y147" s="106">
        <v>10.845079554882014</v>
      </c>
      <c r="Z147" s="106">
        <v>10.933083926959519</v>
      </c>
      <c r="AA147" s="106">
        <v>11.020604833305082</v>
      </c>
      <c r="AB147" s="106">
        <v>11.107633813337845</v>
      </c>
      <c r="AC147" s="106">
        <v>11.194162783885309</v>
      </c>
      <c r="AD147" s="106">
        <v>11.280184034855841</v>
      </c>
      <c r="AE147" s="106">
        <v>11.365690224631713</v>
      </c>
      <c r="AF147" s="106">
        <v>11.450674375202807</v>
      </c>
      <c r="AG147" s="106">
        <v>11.535129867060533</v>
      </c>
      <c r="AH147" s="106">
        <v>11.619050433870916</v>
      </c>
      <c r="AI147" s="106">
        <v>11.702430156945523</v>
      </c>
      <c r="AJ147" s="106">
        <v>11.785263459527895</v>
      </c>
      <c r="AK147" s="106">
        <v>11.867545100913089</v>
      </c>
      <c r="AL147" s="106">
        <v>11.949270170416748</v>
      </c>
      <c r="AM147" s="106">
        <v>12.030434081210149</v>
      </c>
      <c r="AN147" s="106">
        <v>12.111032564036543</v>
      </c>
      <c r="AO147" s="106">
        <v>12.191061660823774</v>
      </c>
      <c r="AP147" s="106">
        <v>12.270517718207529</v>
      </c>
      <c r="AQ147" s="106">
        <v>12.349397380978935</v>
      </c>
      <c r="AR147" s="106">
        <v>12.427697585469497</v>
      </c>
      <c r="AS147" s="106">
        <v>12.505415552886129</v>
      </c>
      <c r="AT147" s="106">
        <v>12.58254878260794</v>
      </c>
      <c r="AU147" s="106">
        <v>12.659095045456352</v>
      </c>
      <c r="AV147" s="106">
        <v>12.735052376949175</v>
      </c>
      <c r="AW147" s="106">
        <v>12.810419070548974</v>
      </c>
      <c r="AX147" s="106">
        <v>12.885193670915305</v>
      </c>
      <c r="AY147" s="106">
        <v>12.959374967170007</v>
      </c>
      <c r="AZ147" s="106">
        <v>13.032961986184164</v>
      </c>
      <c r="BA147" s="106">
        <v>13.105953985894772</v>
      </c>
      <c r="BB147" s="106">
        <v>13.178350448658795</v>
      </c>
      <c r="BC147" s="106">
        <v>13.250151074651683</v>
      </c>
      <c r="BD147" s="106">
        <v>13.321355775316979</v>
      </c>
    </row>
    <row r="148" spans="10:56">
      <c r="J148" s="48"/>
    </row>
    <row r="149" spans="10:56">
      <c r="J149" s="48"/>
    </row>
    <row r="150" spans="10:56">
      <c r="J150" s="48"/>
    </row>
    <row r="151" spans="10:56">
      <c r="J151" s="48"/>
    </row>
    <row r="152" spans="10:56">
      <c r="J152" s="48"/>
    </row>
    <row r="153" spans="10:56">
      <c r="J153" s="48"/>
    </row>
    <row r="154" spans="10:56">
      <c r="J154" s="48"/>
    </row>
  </sheetData>
  <sheetProtection password="C60C" sheet="1" objects="1" scenarios="1"/>
  <mergeCells count="23">
    <mergeCell ref="P84:W84"/>
    <mergeCell ref="G2:J2"/>
    <mergeCell ref="P63:W63"/>
    <mergeCell ref="P2:S2"/>
    <mergeCell ref="P77:W77"/>
    <mergeCell ref="P51:W51"/>
    <mergeCell ref="U2:AB2"/>
    <mergeCell ref="Y28:AB28"/>
    <mergeCell ref="G11:J11"/>
    <mergeCell ref="G13:J13"/>
    <mergeCell ref="G14:J14"/>
    <mergeCell ref="K2:N2"/>
    <mergeCell ref="P28:W28"/>
    <mergeCell ref="U21:X21"/>
    <mergeCell ref="A23:F23"/>
    <mergeCell ref="B2:E2"/>
    <mergeCell ref="B13:D13"/>
    <mergeCell ref="B14:D14"/>
    <mergeCell ref="B15:D15"/>
    <mergeCell ref="B9:B10"/>
    <mergeCell ref="C16:D18"/>
    <mergeCell ref="C9:C10"/>
    <mergeCell ref="D9:E10"/>
  </mergeCells>
  <phoneticPr fontId="4" type="noConversion"/>
  <dataValidations xWindow="490" yWindow="436" count="13">
    <dataValidation type="whole" allowBlank="1" showInputMessage="1" showErrorMessage="1" prompt="La edad de jubilación prevista debe ser igual o superior a la edad mínima de jubilación" sqref="D20">
      <formula1>IF(C20=C21,D21,0)</formula1>
      <formula2>11</formula2>
    </dataValidation>
    <dataValidation type="whole" allowBlank="1" showInputMessage="1" showErrorMessage="1" sqref="C6">
      <formula1>1</formula1>
      <formula2>31</formula2>
    </dataValidation>
    <dataValidation type="whole" allowBlank="1" showInputMessage="1" showErrorMessage="1" sqref="D6">
      <formula1>1</formula1>
      <formula2>12</formula2>
    </dataValidation>
    <dataValidation type="whole" allowBlank="1" showInputMessage="1" showErrorMessage="1" sqref="E6">
      <formula1>YEAR(S86)-67</formula1>
      <formula2>YEAR(S86)-16</formula2>
    </dataValidation>
    <dataValidation type="whole" allowBlank="1" showInputMessage="1" showErrorMessage="1" sqref="C12">
      <formula1>0</formula1>
      <formula2>YEAR(S86)-E6-16</formula2>
    </dataValidation>
    <dataValidation type="whole" allowBlank="1" showInputMessage="1" showErrorMessage="1" sqref="D12">
      <formula1>0</formula1>
      <formula2>11</formula2>
    </dataValidation>
    <dataValidation type="whole" allowBlank="1" showInputMessage="1" showErrorMessage="1" prompt="La edad de jubilación prevista debe ser igual o superior a la edad mínima de jubilación" sqref="C20">
      <formula1>C21</formula1>
      <formula2>80</formula2>
    </dataValidation>
    <dataValidation allowBlank="1" showInputMessage="1" showErrorMessage="1" prompt="Importe de la primera aportación (hoy). Luego, cada año debe aumentar como el IPC hasta la fecha de jubilación prevista." sqref="H7"/>
    <dataValidation allowBlank="1" showInputMessage="1" showErrorMessage="1" prompt="La pensión probable es anual, antes de impuestos y en euros actuales." sqref="H5"/>
    <dataValidation allowBlank="1" showInputMessage="1" showErrorMessage="1" prompt="Importe anual de la primera pensión, antes de impuestos y en euros actuales. Luego aumenta como el IPC." sqref="H9"/>
    <dataValidation type="decimal" allowBlank="1" showInputMessage="1" showErrorMessage="1" errorTitle="Dato no permitido" error="Verifique que el dato está en el intervalo entre la base mínima y la máxima" promptTitle="Bases de cotización 2013:" prompt="Mínima = 858,60 (925,8 si edad&gt;47 y años cot.&lt;5)_x000a_Máxima = 3.425,70 (1.888,8 si edad=47 y base previa&lt;1.870,5_x000a_o si edad&gt;47 y años cot.&lt;5 o base previa&lt;1870,5)_x000a_(Base previa+1% con edad&gt;47, años cotizados&gt;=5 y base previa&gt;=1.870,5)" sqref="E14">
      <formula1>AA93</formula1>
      <formula2>AB93</formula2>
    </dataValidation>
    <dataValidation type="decimal" allowBlank="1" showInputMessage="1" showErrorMessage="1" promptTitle="Bases de cotización 2012:" prompt="Mínima: 850,20_x000a_Máxima: 3.262,4" sqref="E13">
      <formula1>850.2</formula1>
      <formula2>3262.4</formula2>
    </dataValidation>
    <dataValidation type="decimal" allowBlank="1" showInputMessage="1" showErrorMessage="1" prompt="Deje en blanco si no desea limitar el ahorro" sqref="C9:C10">
      <formula1>0</formula1>
      <formula2>C8</formula2>
    </dataValidation>
  </dataValidations>
  <pageMargins left="0.7" right="0.7" top="0.75" bottom="0.75" header="0.3" footer="0.3"/>
  <pageSetup paperSize="9" orientation="portrait" r:id="rId1"/>
  <legacyDrawing r:id="rId2"/>
  <controls>
    <control shapeId="1026" r:id="rId3" name="OptionButton2"/>
    <control shapeId="1025" r:id="rId4" name="OptionButton1"/>
    <control shapeId="1033" r:id="rId5" name="ComboBox1"/>
  </controls>
  <webPublishItems count="1">
    <webPublishItem id="22601" divId="Aplicación online para Edad y Vida_22601" sourceType="sheet" destinationFile="E:\Grupo pensiones\Edad y Vida\Rentabilidad financiero fiscal\Aplicación online para Edad y Vida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</vt:i4>
      </vt:variant>
    </vt:vector>
  </HeadingPairs>
  <TitlesOfParts>
    <vt:vector size="12" baseType="lpstr">
      <vt:lpstr>DATOS</vt:lpstr>
      <vt:lpstr>Ahorro_máximo_anual</vt:lpstr>
      <vt:lpstr>Año</vt:lpstr>
      <vt:lpstr>Años_cotizados</vt:lpstr>
      <vt:lpstr>Años_edad_jubilación</vt:lpstr>
      <vt:lpstr>Base</vt:lpstr>
      <vt:lpstr>Día</vt:lpstr>
      <vt:lpstr>Ingresos</vt:lpstr>
      <vt:lpstr>Mes</vt:lpstr>
      <vt:lpstr>Meses_cotizados</vt:lpstr>
      <vt:lpstr>Meses_edad_jubilación</vt:lpstr>
      <vt:lpstr>Sexo</vt:lpstr>
    </vt:vector>
  </TitlesOfParts>
  <Company>UV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</cp:lastModifiedBy>
  <cp:lastPrinted>2011-07-06T07:02:50Z</cp:lastPrinted>
  <dcterms:created xsi:type="dcterms:W3CDTF">2010-05-09T21:15:01Z</dcterms:created>
  <dcterms:modified xsi:type="dcterms:W3CDTF">2013-01-29T17:06:06Z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Año">
    <vt:lpwstr/>
  </property>
  <property fmtid="{D5CDD505-2E9C-101B-9397-08002B2CF9AE}" pid="3" name="PROP_Años_cotizados">
    <vt:lpwstr/>
  </property>
  <property fmtid="{D5CDD505-2E9C-101B-9397-08002B2CF9AE}" pid="4" name="PROP_Años_edad_jubilación">
    <vt:lpwstr/>
  </property>
  <property fmtid="{D5CDD505-2E9C-101B-9397-08002B2CF9AE}" pid="5" name="PROP_Base">
    <vt:lpwstr/>
  </property>
  <property fmtid="{D5CDD505-2E9C-101B-9397-08002B2CF9AE}" pid="6" name="PROP_Día">
    <vt:lpwstr/>
  </property>
  <property fmtid="{D5CDD505-2E9C-101B-9397-08002B2CF9AE}" pid="7" name="PROP_Ingresos">
    <vt:lpwstr/>
  </property>
  <property fmtid="{D5CDD505-2E9C-101B-9397-08002B2CF9AE}" pid="8" name="PROP_Mes">
    <vt:lpwstr/>
  </property>
  <property fmtid="{D5CDD505-2E9C-101B-9397-08002B2CF9AE}" pid="9" name="PROP_Meses_cotizados">
    <vt:lpwstr/>
  </property>
  <property fmtid="{D5CDD505-2E9C-101B-9397-08002B2CF9AE}" pid="10" name="PROP_Meses_edad_jubilación">
    <vt:lpwstr/>
  </property>
  <property fmtid="{D5CDD505-2E9C-101B-9397-08002B2CF9AE}" pid="11" name="PROP_Sexo">
    <vt:lpwstr/>
  </property>
</Properties>
</file>